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17265" tabRatio="864" activeTab="0"/>
  </bookViews>
  <sheets>
    <sheet name="CalendaJapanNihongo" sheetId="1" r:id="rId1"/>
    <sheet name="CalendarJapan kenmzoka" sheetId="2" r:id="rId2"/>
    <sheet name="HolidayPlanner" sheetId="3" r:id="rId3"/>
    <sheet name="PlannerHowTo" sheetId="4" r:id="rId4"/>
    <sheet name="Date by Week Number"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nyDate">'[1]Date in cell B12'!$B$12</definedName>
    <definedName name="km1" localSheetId="4">#REF!</definedName>
    <definedName name="km1">#REF!</definedName>
    <definedName name="L10参照範囲">'[4]集計'!$A$1:$E$213</definedName>
    <definedName name="L12CNO0180">'[5]ALL 4～9'!#REF!</definedName>
    <definedName name="L12CNO0190">'[5]ALL 4～9'!#REF!</definedName>
    <definedName name="L12SRCV0010">'[5]ALL 4～9'!#REF!</definedName>
    <definedName name="L12SRCV0020">'[5]ALL 4～9'!#REF!</definedName>
    <definedName name="L12SRCV0030">'[5]ALL 4～9'!#REF!</definedName>
    <definedName name="L12SRCV0040">'[5]ALL 4～9'!#REF!</definedName>
    <definedName name="L12SRCV0050">'[5]ALL 4～9'!#REF!</definedName>
    <definedName name="L12SRCV0060">'[5]ALL 4～9'!#REF!</definedName>
    <definedName name="L12SRCV0080">'[5]ALL 4～9'!#REF!</definedName>
    <definedName name="L12SRCV0180">'[5]ALL 4～9'!#REF!</definedName>
    <definedName name="L12参照範囲">'[6]集計'!$A$1:$E$216</definedName>
    <definedName name="Max20">#REF!</definedName>
    <definedName name="Max201">#REF!</definedName>
    <definedName name="Max202">#REF!</definedName>
    <definedName name="Max203">#REF!</definedName>
    <definedName name="Max204">#REF!</definedName>
    <definedName name="Max22">#REF!,#REF!</definedName>
    <definedName name="Max222">#REF!,#REF!</definedName>
    <definedName name="Max223">#REF!,#REF!</definedName>
    <definedName name="Max224">#REF!,#REF!</definedName>
    <definedName name="Planner">'HolidayPlanner'!$J$70:$N$87</definedName>
    <definedName name="_xlnm.Print_Area" localSheetId="0">'CalendaJapanNihongo'!$B$6:$X$40</definedName>
    <definedName name="_xlnm.Print_Area" localSheetId="1">'CalendarJapan kenmzoka'!$A$5:$Y$41</definedName>
    <definedName name="_xlnm.Print_Area" localSheetId="2">'HolidayPlanner'!$B$1:$Z$35</definedName>
    <definedName name="Year">'Date by Week Number'!$B$11</definedName>
    <definedName name="years53wks">'Date by Week Number'!$BA$14:$BA$84</definedName>
    <definedName name="事業所コード">#REF!</definedName>
    <definedName name="本給">#REF!</definedName>
    <definedName name="異動区分">#REF!</definedName>
    <definedName name="資格コード">#REF!</definedName>
  </definedNames>
  <calcPr fullCalcOnLoad="1"/>
</workbook>
</file>

<file path=xl/comments1.xml><?xml version="1.0" encoding="utf-8"?>
<comments xmlns="http://schemas.openxmlformats.org/spreadsheetml/2006/main">
  <authors>
    <author>松岡  秀子</author>
    <author> Matsuoka</author>
  </authors>
  <commentList>
    <comment ref="T3" authorId="0">
      <text>
        <r>
          <rPr>
            <b/>
            <sz val="9"/>
            <rFont val="ＭＳ Ｐゴシック"/>
            <family val="3"/>
          </rPr>
          <t xml:space="preserve">Ken Matsuoka:
</t>
        </r>
        <r>
          <rPr>
            <sz val="9"/>
            <rFont val="ＭＳ Ｐゴシック"/>
            <family val="3"/>
          </rPr>
          <t xml:space="preserve">Your company, school,
office name
</t>
        </r>
      </text>
    </comment>
    <comment ref="G3" authorId="0">
      <text>
        <r>
          <rPr>
            <b/>
            <sz val="9"/>
            <rFont val="ＭＳ Ｐゴシック"/>
            <family val="3"/>
          </rPr>
          <t xml:space="preserve">Ken Matsuoka:
</t>
        </r>
        <r>
          <rPr>
            <sz val="9"/>
            <rFont val="ＭＳ Ｐゴシック"/>
            <family val="3"/>
          </rPr>
          <t xml:space="preserve">Enter the year. Eg. 2001  Otherwise leave blank for the current month at the top
</t>
        </r>
      </text>
    </comment>
    <comment ref="Z103" authorId="1">
      <text>
        <r>
          <rPr>
            <b/>
            <sz val="9"/>
            <rFont val="ＭＳ Ｐゴシック"/>
            <family val="3"/>
          </rPr>
          <t xml:space="preserve"> Matsuoka:</t>
        </r>
        <r>
          <rPr>
            <sz val="9"/>
            <rFont val="ＭＳ Ｐゴシック"/>
            <family val="3"/>
          </rPr>
          <t xml:space="preserve">
2004/10/6
Worked
</t>
        </r>
      </text>
    </comment>
  </commentList>
</comments>
</file>

<file path=xl/comments2.xml><?xml version="1.0" encoding="utf-8"?>
<comments xmlns="http://schemas.openxmlformats.org/spreadsheetml/2006/main">
  <authors>
    <author>松岡  秀子</author>
  </authors>
  <commentList>
    <comment ref="T3" authorId="0">
      <text>
        <r>
          <rPr>
            <b/>
            <sz val="9"/>
            <rFont val="ＭＳ Ｐゴシック"/>
            <family val="3"/>
          </rPr>
          <t xml:space="preserve">Ken Matsuoka:
</t>
        </r>
        <r>
          <rPr>
            <sz val="9"/>
            <rFont val="ＭＳ Ｐゴシック"/>
            <family val="3"/>
          </rPr>
          <t xml:space="preserve">Your company, school,
office name
</t>
        </r>
      </text>
    </comment>
    <comment ref="G3" authorId="0">
      <text>
        <r>
          <rPr>
            <b/>
            <sz val="9"/>
            <rFont val="ＭＳ Ｐゴシック"/>
            <family val="3"/>
          </rPr>
          <t xml:space="preserve">Ken Matsuoka:
</t>
        </r>
        <r>
          <rPr>
            <sz val="9"/>
            <rFont val="ＭＳ Ｐゴシック"/>
            <family val="3"/>
          </rPr>
          <t xml:space="preserve">Enter the year. Eg. 2001  Otherwise leave blank for the current month at the top
</t>
        </r>
      </text>
    </comment>
  </commentList>
</comments>
</file>

<file path=xl/comments3.xml><?xml version="1.0" encoding="utf-8"?>
<comments xmlns="http://schemas.openxmlformats.org/spreadsheetml/2006/main">
  <authors>
    <author>松岡  秀子</author>
  </authors>
  <commentList>
    <comment ref="T3" authorId="0">
      <text>
        <r>
          <rPr>
            <b/>
            <sz val="9"/>
            <rFont val="ＭＳ Ｐゴシック"/>
            <family val="3"/>
          </rPr>
          <t xml:space="preserve">Ken Matsuoka:
</t>
        </r>
        <r>
          <rPr>
            <sz val="9"/>
            <rFont val="ＭＳ Ｐゴシック"/>
            <family val="3"/>
          </rPr>
          <t xml:space="preserve">Your company, school,
office name
</t>
        </r>
      </text>
    </comment>
    <comment ref="B76" authorId="0">
      <text>
        <r>
          <rPr>
            <b/>
            <sz val="9"/>
            <rFont val="ＭＳ Ｐゴシック"/>
            <family val="3"/>
          </rPr>
          <t xml:space="preserve">Ken Matsuoka:
</t>
        </r>
        <r>
          <rPr>
            <sz val="9"/>
            <rFont val="ＭＳ Ｐゴシック"/>
            <family val="3"/>
          </rPr>
          <t xml:space="preserve">mmmm/d/yyyy, 
for example, 2001/4/28
</t>
        </r>
      </text>
    </comment>
  </commentList>
</comments>
</file>

<file path=xl/comments4.xml><?xml version="1.0" encoding="utf-8"?>
<comments xmlns="http://schemas.openxmlformats.org/spreadsheetml/2006/main">
  <authors>
    <author>松岡  秀子</author>
  </authors>
  <commentList>
    <comment ref="H8" authorId="0">
      <text>
        <r>
          <rPr>
            <b/>
            <sz val="9"/>
            <rFont val="ＭＳ Ｐゴシック"/>
            <family val="3"/>
          </rPr>
          <t xml:space="preserve">Ken Matsuoka:
</t>
        </r>
        <r>
          <rPr>
            <sz val="9"/>
            <rFont val="ＭＳ Ｐゴシック"/>
            <family val="3"/>
          </rPr>
          <t xml:space="preserve">mmmm/d/yyyy, 
for example, 2001/4/28
</t>
        </r>
      </text>
    </comment>
  </commentList>
</comments>
</file>

<file path=xl/comments5.xml><?xml version="1.0" encoding="utf-8"?>
<comments xmlns="http://schemas.openxmlformats.org/spreadsheetml/2006/main">
  <authors>
    <author> </author>
  </authors>
  <commentList>
    <comment ref="B2" authorId="0">
      <text>
        <r>
          <rPr>
            <b/>
            <sz val="9"/>
            <rFont val="ＭＳ Ｐゴシック"/>
            <family val="3"/>
          </rPr>
          <t xml:space="preserve">
 :</t>
        </r>
        <r>
          <rPr>
            <sz val="9"/>
            <rFont val="ＭＳ Ｐゴシック"/>
            <family val="3"/>
          </rPr>
          <t>1st &amp;</t>
        </r>
        <r>
          <rPr>
            <b/>
            <sz val="9"/>
            <rFont val="ＭＳ Ｐゴシック"/>
            <family val="3"/>
          </rPr>
          <t xml:space="preserve"> </t>
        </r>
        <r>
          <rPr>
            <sz val="9"/>
            <rFont val="ＭＳ Ｐゴシック"/>
            <family val="3"/>
          </rPr>
          <t>wk2 Monday</t>
        </r>
      </text>
    </comment>
    <comment ref="B3" authorId="0">
      <text>
        <r>
          <rPr>
            <b/>
            <sz val="9"/>
            <rFont val="ＭＳ Ｐゴシック"/>
            <family val="3"/>
          </rPr>
          <t xml:space="preserve"> :</t>
        </r>
        <r>
          <rPr>
            <sz val="9"/>
            <rFont val="ＭＳ Ｐゴシック"/>
            <family val="3"/>
          </rPr>
          <t>Jan 1</t>
        </r>
      </text>
    </comment>
    <comment ref="AZ3" authorId="0">
      <text>
        <r>
          <rPr>
            <b/>
            <sz val="9"/>
            <rFont val="ＭＳ Ｐゴシック"/>
            <family val="3"/>
          </rPr>
          <t xml:space="preserve">
 :</t>
        </r>
        <r>
          <rPr>
            <sz val="9"/>
            <rFont val="ＭＳ Ｐゴシック"/>
            <family val="3"/>
          </rPr>
          <t>1st &amp;</t>
        </r>
        <r>
          <rPr>
            <b/>
            <sz val="9"/>
            <rFont val="ＭＳ Ｐゴシック"/>
            <family val="3"/>
          </rPr>
          <t xml:space="preserve"> </t>
        </r>
        <r>
          <rPr>
            <sz val="9"/>
            <rFont val="ＭＳ Ｐゴシック"/>
            <family val="3"/>
          </rPr>
          <t>wk2 Monday</t>
        </r>
      </text>
    </comment>
    <comment ref="B6" authorId="0">
      <text>
        <r>
          <rPr>
            <b/>
            <sz val="9"/>
            <rFont val="ＭＳ Ｐゴシック"/>
            <family val="3"/>
          </rPr>
          <t xml:space="preserve"> :</t>
        </r>
        <r>
          <rPr>
            <sz val="9"/>
            <rFont val="ＭＳ Ｐゴシック"/>
            <family val="3"/>
          </rPr>
          <t>wk2 Monday after Jan 1 Sun or Mon</t>
        </r>
      </text>
    </comment>
  </commentList>
</comments>
</file>

<file path=xl/sharedStrings.xml><?xml version="1.0" encoding="utf-8"?>
<sst xmlns="http://schemas.openxmlformats.org/spreadsheetml/2006/main" count="365" uniqueCount="110">
  <si>
    <t>http://kenmzoka.tripod.com/</t>
  </si>
  <si>
    <t>Japan</t>
  </si>
  <si>
    <t>Umi no hi
(Sea Day)</t>
  </si>
  <si>
    <t>Holiday Name</t>
  </si>
  <si>
    <t>Observed
(Office closed)</t>
  </si>
  <si>
    <t>Kenkoku Kinenbi (National Foundation Day)</t>
  </si>
  <si>
    <t xml:space="preserve">Date </t>
  </si>
  <si>
    <t>Shogatsu/Ganjitsu/Gantan 
(New Year's Day)</t>
  </si>
  <si>
    <t>Seijin no hi 
(Coming of Age Day)</t>
  </si>
  <si>
    <t>Shunbun no hi 
(Spring Equinox)</t>
  </si>
  <si>
    <t>Kenpou kinenbi
(Constitution Memorial Day)</t>
  </si>
  <si>
    <t>Kodomo no hi
(Children's Day)</t>
  </si>
  <si>
    <t>Keirou no hi
(Respect for the Aged Day)</t>
  </si>
  <si>
    <t>Taiiku no hi (Sports Day)</t>
  </si>
  <si>
    <t>Bunka no hi (Culture Day)</t>
  </si>
  <si>
    <t>Kinrou kansha no hi
(Labor Thanksgiving Day)</t>
  </si>
  <si>
    <t>Tennou tanjoubi (Emperor's Birthday) - Dec 23 observed
(offices closed)</t>
  </si>
  <si>
    <t>Month</t>
  </si>
  <si>
    <t>Year</t>
  </si>
  <si>
    <t>Week
day</t>
  </si>
  <si>
    <t xml:space="preserve">Shuubun no hi (Autumn Equinox) </t>
  </si>
  <si>
    <t>Ken's Home Radio</t>
  </si>
  <si>
    <t>END</t>
  </si>
  <si>
    <t>END</t>
  </si>
  <si>
    <t>B47 did not work for 2005 'Mon Feb 14 05':
=IF(WEEKDAY(DATE(YEAR(Q102),MONTH(P102)+1,DAY(1)))=2,DATE(YEAR(Q102),MONTH(P102)+1,DAY(1))+7,
IF(OR(WEEKDAY(DATE(YEAR(Q102),MONTH(P102)+1,DAY(1)))=5,WEEKDAY(DATE(YEAR(Q102),MONTH(P102)+1,DAY(1)))=3,WEEKDAY(DATE(YEAR(Q102),MONTH(P102)+1,DAY(1)))=4,WEEKDAY(DATE(YEAR(Q102),MONTH(P102)+1,DAY(1)))=1,WEEKDAY(DATE(YEAR(Q102),MONTH(P102)+1,DAY(1)))=6,WEEKDAY(DATE(YEAR(Q102),MONTH(P102)+1,DAY(1)))=7),DATE(YEAR(Q102),MONTH(P102)+1,DAY(1)))+(15-WEEKDAY(DATE(YEAR(Q102),MONTH(P102)+1,DAY(1)),2)))</t>
  </si>
  <si>
    <t>P102</t>
  </si>
  <si>
    <t>日</t>
  </si>
  <si>
    <t>日</t>
  </si>
  <si>
    <t>月</t>
  </si>
  <si>
    <t>月</t>
  </si>
  <si>
    <t>火</t>
  </si>
  <si>
    <t>火</t>
  </si>
  <si>
    <t>水</t>
  </si>
  <si>
    <t>水</t>
  </si>
  <si>
    <t>木</t>
  </si>
  <si>
    <t>木</t>
  </si>
  <si>
    <t>金</t>
  </si>
  <si>
    <t>金</t>
  </si>
  <si>
    <t>土</t>
  </si>
  <si>
    <t>土</t>
  </si>
  <si>
    <t>=DATE(YEAR(Q102),1,1)+14-WEEKDAY(DATE(YEAR(Q102),1,1),3)-7*NOT(WEEKDAY(DATE(YEAR(Q102),1,1),3))</t>
  </si>
  <si>
    <t>SUN</t>
  </si>
  <si>
    <t>MON</t>
  </si>
  <si>
    <t>TUE</t>
  </si>
  <si>
    <t>WED</t>
  </si>
  <si>
    <t>THU</t>
  </si>
  <si>
    <t>FRI</t>
  </si>
  <si>
    <t>SAT</t>
  </si>
  <si>
    <t>B47 did not work for 2005 'Mon Feb 14 05':
=IF(WEEKDAY(DATE(YEAR(Q102),MONTH(P102)+1,DAY(1)))=2,DATE(YEAR(Q102),MONTH(P102)+1,DAY(1))+7,
IF(OR(WEEKDAY(DATE(YEAR(Q102),MONTH(P102)+1,DAY(1)))=5,WEEKDAY(DATE(YEAR(Q102),MONTH(P102)+1,DAY(1)))=3,WEEKDAY(DATE(Y</t>
  </si>
  <si>
    <t>Japan</t>
  </si>
  <si>
    <t>SUN</t>
  </si>
  <si>
    <t>MON</t>
  </si>
  <si>
    <t>TUE</t>
  </si>
  <si>
    <t>WED</t>
  </si>
  <si>
    <t>THU</t>
  </si>
  <si>
    <t>FRI</t>
  </si>
  <si>
    <t>SAT</t>
  </si>
  <si>
    <t>P102</t>
  </si>
  <si>
    <t>=DATE(O47,1,15)</t>
  </si>
  <si>
    <t xml:space="preserve">Index Page for links to Federal Holidays Calendars </t>
  </si>
  <si>
    <t>timeanddate.com/calendar</t>
  </si>
  <si>
    <t>SUN</t>
  </si>
  <si>
    <t>MON</t>
  </si>
  <si>
    <t>TUE</t>
  </si>
  <si>
    <t>WED</t>
  </si>
  <si>
    <t>THU</t>
  </si>
  <si>
    <t>FRI</t>
  </si>
  <si>
    <t>SAT</t>
  </si>
  <si>
    <t>Holiday Schedule modified</t>
  </si>
  <si>
    <t>Vacation</t>
  </si>
  <si>
    <t>Main source:</t>
  </si>
  <si>
    <t>Shogatsu 
(New Year's Day)</t>
  </si>
  <si>
    <t>Seijin no hi 
(Coming of Age Day)</t>
  </si>
  <si>
    <t>Kenkoku Kinenbi 
(National Foundation Day)</t>
  </si>
  <si>
    <t>Shunbun no hi 
(Spring Equinox)</t>
  </si>
  <si>
    <t>Kenpou kinenbi
(Constitution Memorial Day)</t>
  </si>
  <si>
    <t>Kodomo no hi
(Children's Day)</t>
  </si>
  <si>
    <t>Umi no hi
(Sea Day)</t>
  </si>
  <si>
    <t>Keirou no hi
(Respect for the Aged Day)</t>
  </si>
  <si>
    <t xml:space="preserve">Shuubun no hi (Autumn Equinox) </t>
  </si>
  <si>
    <t>Taiiku no hi 
(Sports Day)</t>
  </si>
  <si>
    <t>Bunka no hi 
(Culture Day)</t>
  </si>
  <si>
    <t>Kinrou kansha no hi
(Labor Thanksgiving Day)</t>
  </si>
  <si>
    <t>Tennou tanjoubi (Emperor's Birthday) - Dec 23 observed
(offices closed)</t>
  </si>
  <si>
    <t>JAPANESE HOLIDAY</t>
  </si>
  <si>
    <r>
      <t xml:space="preserve">Shop online at </t>
    </r>
    <r>
      <rPr>
        <b/>
        <u val="single"/>
        <sz val="14"/>
        <color indexed="12"/>
        <rFont val="ＭＳ Ｐゴシック"/>
        <family val="3"/>
      </rPr>
      <t>amazon.co.jp</t>
    </r>
  </si>
  <si>
    <t xml:space="preserve">Showa no hi (Showa Day) 
</t>
  </si>
  <si>
    <t>Kokumin-no-kyujitsu
(Citizen's Day)</t>
  </si>
  <si>
    <t xml:space="preserve">Showa no hi (Showa Day) </t>
  </si>
  <si>
    <t>Showa no hi</t>
  </si>
  <si>
    <t>Midori no hi
(Nature's Day - declared official holiday unless May 4 fallls on Sunday)</t>
  </si>
  <si>
    <t>Kokumin no kyujitsu
(Citizen's Holiday)</t>
  </si>
  <si>
    <t>Planner</t>
  </si>
  <si>
    <t>Holidays</t>
  </si>
  <si>
    <t>Calendar Japan</t>
  </si>
  <si>
    <t>*</t>
  </si>
  <si>
    <t>*</t>
  </si>
  <si>
    <t>52 or 53</t>
  </si>
  <si>
    <t>January</t>
  </si>
  <si>
    <t>February</t>
  </si>
  <si>
    <t>March</t>
  </si>
  <si>
    <t>April</t>
  </si>
  <si>
    <t>May</t>
  </si>
  <si>
    <t>June</t>
  </si>
  <si>
    <t>July</t>
  </si>
  <si>
    <t>August</t>
  </si>
  <si>
    <t>September</t>
  </si>
  <si>
    <t>October</t>
  </si>
  <si>
    <t>November</t>
  </si>
  <si>
    <t>December</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</si>
</sst>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quot;月&quot;"/>
    <numFmt numFmtId="177" formatCode="yyyy&quot;年&quot;"/>
    <numFmt numFmtId="178" formatCode="d"/>
    <numFmt numFmtId="179" formatCode="mmm\ yyyy"/>
    <numFmt numFmtId="180" formatCode="mmm"/>
    <numFmt numFmtId="181" formatCode="ddd"/>
    <numFmt numFmtId="182" formatCode="0_);[Red]\(0\)"/>
    <numFmt numFmtId="183" formatCode="mmmm\ d\,\ yyyy"/>
    <numFmt numFmtId="184" formatCode="ddd\ mmm\ d\,\ yy"/>
    <numFmt numFmtId="185" formatCode="ddd\ mmmm\ d\,\ yy"/>
    <numFmt numFmtId="186" formatCode="dddd\ mmmm\ d\,\ yyyy"/>
    <numFmt numFmtId="187" formatCode="m&quot;月&quot;d&quot;日&quot;ddd"/>
    <numFmt numFmtId="188" formatCode="m&quot;月&quot;d&quot;日&quot;ddd&quot;曜日&quot;"/>
    <numFmt numFmtId="189" formatCode="mmm\ d\ yyyy"/>
    <numFmt numFmtId="190" formatCode="mmm\ d\,\ yyyy"/>
    <numFmt numFmtId="191" formatCode="mmm\-yyyy"/>
    <numFmt numFmtId="192" formatCode="dddd"/>
    <numFmt numFmtId="193" formatCode="yyyy"/>
    <numFmt numFmtId="194" formatCode="&quot;Yes&quot;;&quot;Yes&quot;;&quot;No&quot;"/>
    <numFmt numFmtId="195" formatCode="&quot;True&quot;;&quot;True&quot;;&quot;False&quot;"/>
    <numFmt numFmtId="196" formatCode="&quot;On&quot;;&quot;On&quot;;&quot;Off&quot;"/>
    <numFmt numFmtId="197" formatCode="&quot;&quot;"/>
    <numFmt numFmtId="198" formatCode="mmmm\ yyyy"/>
    <numFmt numFmtId="199" formatCode="mmmm"/>
    <numFmt numFmtId="200" formatCode="mm\ yyyy"/>
    <numFmt numFmtId="201" formatCode="ddd\ mmmm\ d\ yy"/>
    <numFmt numFmtId="202" formatCode="ddd\ mmmm\ d\,\ yyyy"/>
    <numFmt numFmtId="203" formatCode="[$-409]dddd\,\ mmmm\ d\,\ yyyy"/>
  </numFmts>
  <fonts count="106">
    <font>
      <sz val="11"/>
      <name val="ＭＳ Ｐゴシック"/>
      <family val="3"/>
    </font>
    <font>
      <sz val="6"/>
      <name val="ＭＳ Ｐゴシック"/>
      <family val="3"/>
    </font>
    <font>
      <sz val="16"/>
      <name val="ＤＦ特太ゴシック体"/>
      <family val="3"/>
    </font>
    <font>
      <sz val="16"/>
      <name val="ＭＳ Ｐゴシック"/>
      <family val="3"/>
    </font>
    <font>
      <sz val="6"/>
      <color indexed="9"/>
      <name val="Book Antiqua"/>
      <family val="1"/>
    </font>
    <font>
      <sz val="10"/>
      <name val="Book Antiqua"/>
      <family val="1"/>
    </font>
    <font>
      <b/>
      <u val="single"/>
      <sz val="14"/>
      <name val="Bookman Old Style"/>
      <family val="1"/>
    </font>
    <font>
      <u val="single"/>
      <sz val="11"/>
      <color indexed="12"/>
      <name val="ＭＳ Ｐゴシック"/>
      <family val="3"/>
    </font>
    <font>
      <sz val="10"/>
      <color indexed="55"/>
      <name val="Book Antiqua"/>
      <family val="1"/>
    </font>
    <font>
      <b/>
      <sz val="10"/>
      <name val="Times New Roman"/>
      <family val="1"/>
    </font>
    <font>
      <sz val="1"/>
      <name val="ＭＳ Ｐゴシック"/>
      <family val="3"/>
    </font>
    <font>
      <b/>
      <sz val="9"/>
      <name val="ＭＳ Ｐゴシック"/>
      <family val="3"/>
    </font>
    <font>
      <sz val="9"/>
      <name val="ＭＳ Ｐゴシック"/>
      <family val="3"/>
    </font>
    <font>
      <sz val="9"/>
      <name val="Book Antiqua"/>
      <family val="1"/>
    </font>
    <font>
      <sz val="9"/>
      <name val="Times New Roman"/>
      <family val="1"/>
    </font>
    <font>
      <sz val="11"/>
      <name val="Times New Roman"/>
      <family val="1"/>
    </font>
    <font>
      <sz val="10"/>
      <name val="Times New Roman"/>
      <family val="1"/>
    </font>
    <font>
      <b/>
      <sz val="16"/>
      <name val="Times New Roman"/>
      <family val="1"/>
    </font>
    <font>
      <u val="single"/>
      <sz val="12"/>
      <color indexed="12"/>
      <name val="ＭＳ Ｐゴシック"/>
      <family val="3"/>
    </font>
    <font>
      <sz val="6"/>
      <name val="ＤＦ特太ゴシック体"/>
      <family val="3"/>
    </font>
    <font>
      <sz val="10"/>
      <name val="ＤＦ特太ゴシック体"/>
      <family val="3"/>
    </font>
    <font>
      <sz val="10"/>
      <name val="ＭＳ Ｐ明朝"/>
      <family val="1"/>
    </font>
    <font>
      <sz val="8"/>
      <name val="ＭＳ Ｐゴシック"/>
      <family val="3"/>
    </font>
    <font>
      <sz val="6"/>
      <name val="ＭＳ Ｐ明朝"/>
      <family val="1"/>
    </font>
    <font>
      <sz val="14"/>
      <name val="Times New Roman"/>
      <family val="1"/>
    </font>
    <font>
      <u val="single"/>
      <sz val="11"/>
      <color indexed="36"/>
      <name val="ＭＳ Ｐゴシック"/>
      <family val="3"/>
    </font>
    <font>
      <u val="single"/>
      <sz val="9"/>
      <color indexed="12"/>
      <name val="Times New Roman"/>
      <family val="1"/>
    </font>
    <font>
      <sz val="11"/>
      <name val="NewCenturySchlbk"/>
      <family val="1"/>
    </font>
    <font>
      <b/>
      <sz val="11"/>
      <name val="NewCenturySchlbk"/>
      <family val="1"/>
    </font>
    <font>
      <sz val="8"/>
      <name val="Book Antiqua"/>
      <family val="1"/>
    </font>
    <font>
      <sz val="8"/>
      <name val="NewCenturySchlbk"/>
      <family val="1"/>
    </font>
    <font>
      <sz val="10"/>
      <name val="Arial"/>
      <family val="2"/>
    </font>
    <font>
      <sz val="7"/>
      <name val="Times New Roman"/>
      <family val="1"/>
    </font>
    <font>
      <sz val="1"/>
      <color indexed="9"/>
      <name val="Book Antiqua"/>
      <family val="1"/>
    </font>
    <font>
      <sz val="1"/>
      <name val="Book Antiqua"/>
      <family val="1"/>
    </font>
    <font>
      <u val="single"/>
      <sz val="10"/>
      <color indexed="12"/>
      <name val="ＭＳ Ｐゴシック"/>
      <family val="3"/>
    </font>
    <font>
      <sz val="1"/>
      <color indexed="9"/>
      <name val="ＭＳ Ｐゴシック"/>
      <family val="3"/>
    </font>
    <font>
      <sz val="20"/>
      <color indexed="9"/>
      <name val="ＭＳ Ｐゴシック"/>
      <family val="3"/>
    </font>
    <font>
      <b/>
      <u val="single"/>
      <sz val="14"/>
      <color indexed="12"/>
      <name val="ＭＳ Ｐゴシック"/>
      <family val="3"/>
    </font>
    <font>
      <sz val="9"/>
      <color indexed="9"/>
      <name val="Book Antiqua"/>
      <family val="1"/>
    </font>
    <font>
      <u val="single"/>
      <sz val="16"/>
      <color indexed="12"/>
      <name val="ＭＳ Ｐゴシック"/>
      <family val="3"/>
    </font>
    <font>
      <i/>
      <u val="single"/>
      <sz val="16"/>
      <color indexed="12"/>
      <name val="ＭＳ Ｐゴシック"/>
      <family val="3"/>
    </font>
    <font>
      <b/>
      <u val="single"/>
      <sz val="16"/>
      <color indexed="12"/>
      <name val="ＭＳ Ｐゴシック"/>
      <family val="3"/>
    </font>
    <font>
      <sz val="11"/>
      <color indexed="9"/>
      <name val="ＭＳ Ｐゴシック"/>
      <family val="3"/>
    </font>
    <font>
      <sz val="12"/>
      <name val="ＭＳ Ｐゴシック"/>
      <family val="3"/>
    </font>
    <font>
      <b/>
      <sz val="11"/>
      <name val="ＭＳ Ｐゴシック"/>
      <family val="3"/>
    </font>
    <font>
      <sz val="11"/>
      <color indexed="22"/>
      <name val="ＭＳ Ｐゴシック"/>
      <family val="3"/>
    </font>
    <font>
      <sz val="22"/>
      <name val="ＭＳ Ｐゴシック"/>
      <family val="3"/>
    </font>
    <font>
      <sz val="10"/>
      <name val="ＭＳ Ｐゴシック"/>
      <family val="3"/>
    </font>
    <font>
      <sz val="20"/>
      <name val="ＭＳ Ｐゴシック"/>
      <family val="3"/>
    </font>
    <font>
      <sz val="14"/>
      <name val="ＭＳ Ｐゴシック"/>
      <family val="3"/>
    </font>
    <font>
      <sz val="11"/>
      <color indexed="8"/>
      <name val="Calibri"/>
      <family val="3"/>
    </font>
    <font>
      <sz val="11"/>
      <color indexed="9"/>
      <name val="Calibri"/>
      <family val="3"/>
    </font>
    <font>
      <sz val="18"/>
      <color indexed="54"/>
      <name val="Calibri Light"/>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4"/>
      <name val="Calibri"/>
      <family val="3"/>
    </font>
    <font>
      <b/>
      <sz val="13"/>
      <color indexed="54"/>
      <name val="Calibri"/>
      <family val="3"/>
    </font>
    <font>
      <b/>
      <sz val="11"/>
      <color indexed="54"/>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1"/>
      <color indexed="23"/>
      <name val="ＭＳ Ｐゴシック"/>
      <family val="3"/>
    </font>
    <font>
      <sz val="11"/>
      <color indexed="10"/>
      <name val="ＭＳ Ｐゴシック"/>
      <family val="3"/>
    </font>
    <font>
      <sz val="11"/>
      <color indexed="54"/>
      <name val="ＭＳ Ｐゴシック"/>
      <family val="3"/>
    </font>
    <font>
      <sz val="11"/>
      <color indexed="8"/>
      <name val="ＭＳ Ｐゴシック"/>
      <family val="3"/>
    </font>
    <font>
      <sz val="11"/>
      <color indexed="27"/>
      <name val="ＭＳ Ｐゴシック"/>
      <family val="3"/>
    </font>
    <font>
      <sz val="6"/>
      <color indexed="9"/>
      <name val="ＭＳ Ｐゴシック"/>
      <family val="3"/>
    </font>
    <font>
      <sz val="8"/>
      <color indexed="13"/>
      <name val="ＭＳ Ｐゴシック"/>
      <family val="3"/>
    </font>
    <font>
      <sz val="10"/>
      <color indexed="55"/>
      <name val="ＭＳ Ｐゴシック"/>
      <family val="3"/>
    </font>
    <font>
      <sz val="16"/>
      <color indexed="55"/>
      <name val="ＭＳ Ｐゴシック"/>
      <family val="3"/>
    </font>
    <font>
      <b/>
      <u val="single"/>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sz val="11"/>
      <color theme="1" tint="0.49998000264167786"/>
      <name val="ＭＳ Ｐゴシック"/>
      <family val="3"/>
    </font>
    <font>
      <sz val="11"/>
      <color rgb="FFFF0000"/>
      <name val="ＭＳ Ｐゴシック"/>
      <family val="3"/>
    </font>
    <font>
      <sz val="11"/>
      <color theme="3"/>
      <name val="ＭＳ Ｐゴシック"/>
      <family val="3"/>
    </font>
    <font>
      <sz val="11"/>
      <color theme="1"/>
      <name val="ＭＳ Ｐゴシック"/>
      <family val="3"/>
    </font>
    <font>
      <sz val="11"/>
      <color theme="4" tint="0.7999799847602844"/>
      <name val="ＭＳ Ｐゴシック"/>
      <family val="3"/>
    </font>
    <font>
      <sz val="6"/>
      <color theme="0"/>
      <name val="ＭＳ Ｐゴシック"/>
      <family val="3"/>
    </font>
    <font>
      <sz val="8"/>
      <color rgb="FFFFFF00"/>
      <name val="ＭＳ Ｐゴシック"/>
      <family val="3"/>
    </font>
    <font>
      <sz val="11"/>
      <color theme="0" tint="-0.1499900072813034"/>
      <name val="ＭＳ Ｐゴシック"/>
      <family val="3"/>
    </font>
    <font>
      <sz val="10"/>
      <color theme="0" tint="-0.3499799966812134"/>
      <name val="ＭＳ Ｐゴシック"/>
      <family val="3"/>
    </font>
    <font>
      <sz val="16"/>
      <color theme="0" tint="-0.3499799966812134"/>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theme="0" tint="-0.1499900072813034"/>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4" applyNumberFormat="0" applyAlignment="0" applyProtection="0"/>
    <xf numFmtId="0" fontId="85" fillId="30" borderId="5" applyNumberFormat="0" applyAlignment="0" applyProtection="0"/>
    <xf numFmtId="0" fontId="86"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protection/>
    </xf>
    <xf numFmtId="0" fontId="87" fillId="32" borderId="0" applyNumberFormat="0" applyBorder="0" applyAlignment="0" applyProtection="0"/>
    <xf numFmtId="0" fontId="25"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90" fillId="0" borderId="8" applyNumberFormat="0" applyFill="0" applyAlignment="0" applyProtection="0"/>
    <xf numFmtId="0" fontId="90" fillId="0" borderId="0" applyNumberFormat="0" applyFill="0" applyBorder="0" applyAlignment="0" applyProtection="0"/>
    <xf numFmtId="0" fontId="91" fillId="30" borderId="4"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94" fillId="0" borderId="9" applyNumberFormat="0" applyFill="0" applyAlignment="0" applyProtection="0"/>
  </cellStyleXfs>
  <cellXfs count="254">
    <xf numFmtId="0" fontId="0" fillId="0" borderId="0" xfId="0" applyAlignment="1">
      <alignment/>
    </xf>
    <xf numFmtId="0" fontId="6" fillId="0" borderId="0" xfId="0" applyFont="1" applyAlignment="1" applyProtection="1">
      <alignment horizontal="center"/>
      <protection hidden="1"/>
    </xf>
    <xf numFmtId="22" fontId="4" fillId="0" borderId="0" xfId="0" applyNumberFormat="1" applyFont="1" applyAlignment="1" applyProtection="1">
      <alignment/>
      <protection hidden="1"/>
    </xf>
    <xf numFmtId="0" fontId="5"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alignment horizontal="left"/>
      <protection hidden="1"/>
    </xf>
    <xf numFmtId="0" fontId="2" fillId="0" borderId="0" xfId="0" applyFont="1" applyBorder="1" applyAlignment="1" applyProtection="1">
      <alignment horizontal="center"/>
      <protection hidden="1"/>
    </xf>
    <xf numFmtId="14" fontId="3" fillId="0" borderId="0" xfId="0" applyNumberFormat="1" applyFont="1" applyAlignment="1" applyProtection="1">
      <alignment horizontal="left"/>
      <protection hidden="1"/>
    </xf>
    <xf numFmtId="0" fontId="2" fillId="0" borderId="10" xfId="0" applyFont="1" applyBorder="1" applyAlignment="1" applyProtection="1">
      <alignment horizontal="center"/>
      <protection hidden="1"/>
    </xf>
    <xf numFmtId="0" fontId="3" fillId="0" borderId="10" xfId="0" applyFont="1" applyBorder="1" applyAlignment="1" applyProtection="1">
      <alignment horizontal="left"/>
      <protection hidden="1"/>
    </xf>
    <xf numFmtId="0" fontId="16" fillId="0" borderId="11" xfId="0" applyFont="1" applyBorder="1" applyAlignment="1" applyProtection="1">
      <alignment horizontal="center" vertical="center"/>
      <protection hidden="1"/>
    </xf>
    <xf numFmtId="0" fontId="16" fillId="0" borderId="12" xfId="0" applyFont="1" applyBorder="1" applyAlignment="1" applyProtection="1">
      <alignment vertical="center"/>
      <protection hidden="1"/>
    </xf>
    <xf numFmtId="0" fontId="16" fillId="0" borderId="13" xfId="0" applyFont="1" applyBorder="1" applyAlignment="1" applyProtection="1">
      <alignment vertical="center"/>
      <protection hidden="1"/>
    </xf>
    <xf numFmtId="0" fontId="16" fillId="0" borderId="14" xfId="0" applyFont="1" applyBorder="1" applyAlignment="1" applyProtection="1">
      <alignment vertical="center"/>
      <protection hidden="1"/>
    </xf>
    <xf numFmtId="182" fontId="8" fillId="33" borderId="0" xfId="0" applyNumberFormat="1" applyFont="1" applyFill="1" applyAlignment="1" applyProtection="1">
      <alignment/>
      <protection locked="0"/>
    </xf>
    <xf numFmtId="183" fontId="16" fillId="0" borderId="13" xfId="0" applyNumberFormat="1" applyFont="1" applyBorder="1" applyAlignment="1" applyProtection="1">
      <alignment vertical="center"/>
      <protection hidden="1"/>
    </xf>
    <xf numFmtId="0" fontId="16" fillId="0" borderId="13" xfId="0" applyFont="1" applyBorder="1" applyAlignment="1" applyProtection="1">
      <alignment/>
      <protection hidden="1"/>
    </xf>
    <xf numFmtId="14" fontId="2" fillId="0" borderId="0" xfId="0" applyNumberFormat="1" applyFont="1" applyBorder="1" applyAlignment="1" applyProtection="1">
      <alignment horizontal="center"/>
      <protection hidden="1"/>
    </xf>
    <xf numFmtId="0" fontId="1" fillId="0" borderId="0" xfId="0" applyFont="1" applyAlignment="1" applyProtection="1">
      <alignment horizontal="left"/>
      <protection hidden="1"/>
    </xf>
    <xf numFmtId="0" fontId="19" fillId="0" borderId="0" xfId="0" applyFont="1" applyBorder="1" applyAlignment="1" applyProtection="1">
      <alignment horizontal="center"/>
      <protection hidden="1"/>
    </xf>
    <xf numFmtId="0" fontId="20" fillId="0" borderId="0" xfId="0" applyFont="1" applyBorder="1" applyAlignment="1" applyProtection="1">
      <alignment horizontal="center"/>
      <protection hidden="1"/>
    </xf>
    <xf numFmtId="183" fontId="16" fillId="0" borderId="0" xfId="0" applyNumberFormat="1" applyFont="1" applyBorder="1" applyAlignment="1" applyProtection="1">
      <alignment horizontal="left" vertical="center" wrapText="1"/>
      <protection hidden="1"/>
    </xf>
    <xf numFmtId="14" fontId="21" fillId="34" borderId="15" xfId="0" applyNumberFormat="1" applyFont="1" applyFill="1" applyBorder="1" applyAlignment="1" applyProtection="1">
      <alignment horizontal="center" vertical="center"/>
      <protection hidden="1"/>
    </xf>
    <xf numFmtId="14" fontId="21" fillId="35" borderId="16" xfId="0" applyNumberFormat="1" applyFont="1" applyFill="1" applyBorder="1" applyAlignment="1" applyProtection="1">
      <alignment horizontal="center" vertical="center"/>
      <protection hidden="1"/>
    </xf>
    <xf numFmtId="14" fontId="21" fillId="34" borderId="17" xfId="0" applyNumberFormat="1" applyFont="1" applyFill="1" applyBorder="1" applyAlignment="1" applyProtection="1">
      <alignment horizontal="center" vertical="center"/>
      <protection hidden="1"/>
    </xf>
    <xf numFmtId="14" fontId="21" fillId="34" borderId="0" xfId="0" applyNumberFormat="1" applyFont="1" applyFill="1" applyBorder="1" applyAlignment="1" applyProtection="1">
      <alignment horizontal="center" vertical="center"/>
      <protection hidden="1"/>
    </xf>
    <xf numFmtId="14" fontId="21" fillId="35" borderId="0" xfId="0" applyNumberFormat="1" applyFont="1" applyFill="1" applyBorder="1" applyAlignment="1" applyProtection="1">
      <alignment horizontal="center" vertical="center"/>
      <protection hidden="1"/>
    </xf>
    <xf numFmtId="178" fontId="16" fillId="0" borderId="13" xfId="0" applyNumberFormat="1" applyFont="1" applyFill="1" applyBorder="1" applyAlignment="1" applyProtection="1">
      <alignment horizontal="left" vertical="top"/>
      <protection hidden="1"/>
    </xf>
    <xf numFmtId="14" fontId="2" fillId="36" borderId="0" xfId="0" applyNumberFormat="1" applyFont="1" applyFill="1" applyBorder="1" applyAlignment="1">
      <alignment horizontal="center"/>
    </xf>
    <xf numFmtId="181" fontId="5" fillId="34" borderId="15" xfId="0" applyNumberFormat="1" applyFont="1" applyFill="1" applyBorder="1" applyAlignment="1" applyProtection="1">
      <alignment horizontal="center" vertical="center"/>
      <protection hidden="1"/>
    </xf>
    <xf numFmtId="181" fontId="5" fillId="35" borderId="16" xfId="0" applyNumberFormat="1" applyFont="1" applyFill="1" applyBorder="1" applyAlignment="1" applyProtection="1">
      <alignment horizontal="center" vertical="center"/>
      <protection hidden="1"/>
    </xf>
    <xf numFmtId="181" fontId="5" fillId="34" borderId="17" xfId="0" applyNumberFormat="1" applyFont="1" applyFill="1" applyBorder="1" applyAlignment="1" applyProtection="1">
      <alignment horizontal="center" vertical="center"/>
      <protection hidden="1"/>
    </xf>
    <xf numFmtId="178" fontId="24" fillId="0" borderId="18" xfId="0" applyNumberFormat="1" applyFont="1" applyFill="1" applyBorder="1" applyAlignment="1" applyProtection="1">
      <alignment/>
      <protection hidden="1"/>
    </xf>
    <xf numFmtId="178" fontId="24" fillId="0" borderId="0" xfId="0" applyNumberFormat="1" applyFont="1" applyFill="1" applyBorder="1" applyAlignment="1" applyProtection="1">
      <alignment/>
      <protection hidden="1"/>
    </xf>
    <xf numFmtId="178" fontId="24" fillId="0" borderId="19" xfId="0" applyNumberFormat="1" applyFont="1" applyFill="1" applyBorder="1" applyAlignment="1" applyProtection="1">
      <alignment/>
      <protection hidden="1"/>
    </xf>
    <xf numFmtId="178" fontId="24" fillId="0" borderId="20" xfId="0" applyNumberFormat="1" applyFont="1" applyFill="1" applyBorder="1" applyAlignment="1" applyProtection="1">
      <alignment/>
      <protection hidden="1"/>
    </xf>
    <xf numFmtId="178" fontId="24" fillId="0" borderId="21" xfId="0" applyNumberFormat="1" applyFont="1" applyFill="1" applyBorder="1" applyAlignment="1" applyProtection="1">
      <alignment/>
      <protection hidden="1"/>
    </xf>
    <xf numFmtId="178" fontId="24" fillId="0" borderId="22" xfId="0" applyNumberFormat="1" applyFont="1" applyFill="1" applyBorder="1" applyAlignment="1" applyProtection="1">
      <alignment/>
      <protection hidden="1"/>
    </xf>
    <xf numFmtId="181" fontId="5" fillId="34" borderId="0" xfId="0" applyNumberFormat="1" applyFont="1" applyFill="1" applyBorder="1" applyAlignment="1" applyProtection="1">
      <alignment horizontal="center" vertical="center"/>
      <protection hidden="1"/>
    </xf>
    <xf numFmtId="181" fontId="5" fillId="35" borderId="0" xfId="0" applyNumberFormat="1" applyFont="1" applyFill="1" applyBorder="1" applyAlignment="1" applyProtection="1">
      <alignment horizontal="center" vertical="center"/>
      <protection hidden="1"/>
    </xf>
    <xf numFmtId="178" fontId="24" fillId="0" borderId="15" xfId="0" applyNumberFormat="1" applyFont="1" applyFill="1" applyBorder="1" applyAlignment="1" applyProtection="1">
      <alignment/>
      <protection hidden="1"/>
    </xf>
    <xf numFmtId="178" fontId="24" fillId="0" borderId="16" xfId="0" applyNumberFormat="1" applyFont="1" applyFill="1" applyBorder="1" applyAlignment="1" applyProtection="1">
      <alignment/>
      <protection hidden="1"/>
    </xf>
    <xf numFmtId="178" fontId="24" fillId="0" borderId="17" xfId="0" applyNumberFormat="1" applyFont="1" applyFill="1" applyBorder="1" applyAlignment="1" applyProtection="1">
      <alignment/>
      <protection hidden="1"/>
    </xf>
    <xf numFmtId="183" fontId="16" fillId="0" borderId="0" xfId="0" applyNumberFormat="1" applyFont="1" applyBorder="1" applyAlignment="1" applyProtection="1">
      <alignment horizontal="left" vertical="center"/>
      <protection hidden="1"/>
    </xf>
    <xf numFmtId="0" fontId="5" fillId="0" borderId="0" xfId="0" applyFont="1" applyAlignment="1">
      <alignment/>
    </xf>
    <xf numFmtId="0" fontId="8" fillId="33" borderId="0" xfId="0" applyNumberFormat="1" applyFont="1" applyFill="1" applyAlignment="1" applyProtection="1">
      <alignment/>
      <protection locked="0"/>
    </xf>
    <xf numFmtId="0" fontId="27" fillId="0" borderId="0" xfId="0" applyFont="1" applyAlignment="1">
      <alignment/>
    </xf>
    <xf numFmtId="0" fontId="27" fillId="0" borderId="0" xfId="0" applyFont="1" applyAlignment="1">
      <alignment horizontal="center"/>
    </xf>
    <xf numFmtId="0" fontId="28" fillId="0" borderId="0" xfId="0" applyFont="1" applyAlignment="1">
      <alignment horizontal="center"/>
    </xf>
    <xf numFmtId="181" fontId="29" fillId="34" borderId="0" xfId="0" applyNumberFormat="1" applyFont="1" applyFill="1" applyBorder="1" applyAlignment="1" applyProtection="1">
      <alignment horizontal="center" vertical="center"/>
      <protection locked="0"/>
    </xf>
    <xf numFmtId="181" fontId="29" fillId="35" borderId="0" xfId="0" applyNumberFormat="1" applyFont="1" applyFill="1" applyBorder="1" applyAlignment="1" applyProtection="1">
      <alignment horizontal="center" vertical="center"/>
      <protection hidden="1"/>
    </xf>
    <xf numFmtId="0" fontId="29" fillId="0" borderId="0" xfId="0" applyFont="1" applyAlignment="1">
      <alignment/>
    </xf>
    <xf numFmtId="0" fontId="30" fillId="0" borderId="23" xfId="0" applyFont="1" applyBorder="1" applyAlignment="1" applyProtection="1">
      <alignment horizontal="center" vertical="center"/>
      <protection hidden="1"/>
    </xf>
    <xf numFmtId="178" fontId="31" fillId="0" borderId="13" xfId="0" applyNumberFormat="1" applyFont="1" applyFill="1" applyBorder="1" applyAlignment="1" applyProtection="1">
      <alignment horizontal="left"/>
      <protection hidden="1"/>
    </xf>
    <xf numFmtId="0" fontId="30" fillId="0" borderId="23" xfId="0" applyFont="1" applyBorder="1" applyAlignment="1" applyProtection="1">
      <alignment horizontal="right" vertical="center"/>
      <protection hidden="1"/>
    </xf>
    <xf numFmtId="0" fontId="31" fillId="0" borderId="0" xfId="0" applyFont="1" applyAlignment="1">
      <alignment/>
    </xf>
    <xf numFmtId="178" fontId="32" fillId="0" borderId="13" xfId="0" applyNumberFormat="1" applyFont="1" applyFill="1" applyBorder="1" applyAlignment="1" applyProtection="1">
      <alignment vertical="center" wrapText="1"/>
      <protection hidden="1"/>
    </xf>
    <xf numFmtId="197" fontId="32" fillId="0" borderId="13" xfId="0" applyNumberFormat="1" applyFont="1" applyFill="1" applyBorder="1" applyAlignment="1" applyProtection="1">
      <alignment vertical="center" wrapText="1"/>
      <protection hidden="1"/>
    </xf>
    <xf numFmtId="0" fontId="30" fillId="0" borderId="0" xfId="0" applyFont="1" applyBorder="1" applyAlignment="1" applyProtection="1">
      <alignment horizontal="center" vertical="center"/>
      <protection hidden="1"/>
    </xf>
    <xf numFmtId="0" fontId="28" fillId="0" borderId="0" xfId="0" applyFont="1" applyAlignment="1">
      <alignment horizontal="left"/>
    </xf>
    <xf numFmtId="178" fontId="32" fillId="0" borderId="24" xfId="0" applyNumberFormat="1" applyFont="1" applyFill="1" applyBorder="1" applyAlignment="1" applyProtection="1">
      <alignment vertical="center" wrapText="1"/>
      <protection hidden="1"/>
    </xf>
    <xf numFmtId="197" fontId="32" fillId="0" borderId="24" xfId="0" applyNumberFormat="1" applyFont="1" applyFill="1" applyBorder="1" applyAlignment="1" applyProtection="1">
      <alignment vertical="center" wrapText="1"/>
      <protection hidden="1"/>
    </xf>
    <xf numFmtId="178" fontId="32" fillId="0" borderId="12" xfId="0" applyNumberFormat="1" applyFont="1" applyFill="1" applyBorder="1" applyAlignment="1" applyProtection="1">
      <alignment vertical="center" wrapText="1"/>
      <protection hidden="1"/>
    </xf>
    <xf numFmtId="0" fontId="33" fillId="0" borderId="0" xfId="0" applyFont="1" applyAlignment="1">
      <alignment/>
    </xf>
    <xf numFmtId="0" fontId="13" fillId="0" borderId="0" xfId="0" applyFont="1" applyAlignment="1">
      <alignment/>
    </xf>
    <xf numFmtId="0" fontId="13" fillId="0" borderId="0" xfId="0" applyFont="1" applyAlignment="1" applyProtection="1">
      <alignment/>
      <protection hidden="1"/>
    </xf>
    <xf numFmtId="14" fontId="33" fillId="0" borderId="0" xfId="0" applyNumberFormat="1" applyFont="1" applyAlignment="1" applyProtection="1">
      <alignment/>
      <protection hidden="1"/>
    </xf>
    <xf numFmtId="14" fontId="33" fillId="0" borderId="0" xfId="0" applyNumberFormat="1" applyFont="1" applyAlignment="1">
      <alignment/>
    </xf>
    <xf numFmtId="0" fontId="34" fillId="0" borderId="0" xfId="0" applyFont="1" applyAlignment="1">
      <alignment/>
    </xf>
    <xf numFmtId="0" fontId="36" fillId="0" borderId="0" xfId="0" applyFont="1" applyAlignment="1" applyProtection="1">
      <alignment/>
      <protection hidden="1"/>
    </xf>
    <xf numFmtId="0" fontId="29" fillId="0" borderId="0" xfId="0" applyFont="1" applyAlignment="1" applyProtection="1">
      <alignment vertical="center"/>
      <protection hidden="1"/>
    </xf>
    <xf numFmtId="183" fontId="13" fillId="0" borderId="0" xfId="0" applyNumberFormat="1" applyFont="1" applyAlignment="1" applyProtection="1">
      <alignment horizontal="center" vertical="center"/>
      <protection hidden="1"/>
    </xf>
    <xf numFmtId="181" fontId="29" fillId="0" borderId="0" xfId="0" applyNumberFormat="1" applyFont="1" applyAlignment="1" applyProtection="1">
      <alignment horizontal="left" vertical="center"/>
      <protection hidden="1"/>
    </xf>
    <xf numFmtId="0" fontId="0" fillId="0" borderId="0" xfId="0" applyAlignment="1" applyProtection="1">
      <alignment vertical="center"/>
      <protection hidden="1"/>
    </xf>
    <xf numFmtId="0" fontId="29" fillId="0" borderId="0" xfId="0" applyFont="1" applyAlignment="1" applyProtection="1">
      <alignment vertical="center"/>
      <protection locked="0"/>
    </xf>
    <xf numFmtId="0" fontId="22" fillId="0" borderId="0" xfId="0" applyFont="1" applyAlignment="1">
      <alignment vertical="center"/>
    </xf>
    <xf numFmtId="0" fontId="29" fillId="0" borderId="0" xfId="0" applyFont="1" applyAlignment="1" applyProtection="1">
      <alignment vertical="center"/>
      <protection hidden="1" locked="0"/>
    </xf>
    <xf numFmtId="0" fontId="0" fillId="0" borderId="0" xfId="0" applyAlignment="1" applyProtection="1">
      <alignment vertical="center"/>
      <protection hidden="1" locked="0"/>
    </xf>
    <xf numFmtId="0" fontId="0" fillId="0" borderId="0" xfId="0" applyAlignment="1">
      <alignment vertical="center"/>
    </xf>
    <xf numFmtId="0" fontId="13" fillId="0" borderId="0" xfId="0" applyFont="1" applyAlignment="1" applyProtection="1">
      <alignment vertical="center"/>
      <protection locked="0"/>
    </xf>
    <xf numFmtId="0" fontId="13" fillId="0" borderId="0" xfId="0" applyFont="1" applyAlignment="1" applyProtection="1">
      <alignment vertical="center"/>
      <protection hidden="1" locked="0"/>
    </xf>
    <xf numFmtId="0" fontId="13" fillId="0" borderId="0" xfId="0" applyFont="1" applyAlignment="1" applyProtection="1">
      <alignment vertical="center"/>
      <protection hidden="1"/>
    </xf>
    <xf numFmtId="181" fontId="29" fillId="0" borderId="13" xfId="0" applyNumberFormat="1" applyFont="1" applyBorder="1" applyAlignment="1" applyProtection="1">
      <alignment horizontal="left" vertical="center"/>
      <protection hidden="1"/>
    </xf>
    <xf numFmtId="0" fontId="26" fillId="0" borderId="0" xfId="43" applyFont="1" applyAlignment="1" applyProtection="1">
      <alignment vertical="center"/>
      <protection/>
    </xf>
    <xf numFmtId="14" fontId="37" fillId="0" borderId="0" xfId="0" applyNumberFormat="1" applyFont="1" applyAlignment="1" applyProtection="1">
      <alignment horizontal="left"/>
      <protection hidden="1"/>
    </xf>
    <xf numFmtId="14" fontId="36" fillId="0" borderId="0" xfId="0" applyNumberFormat="1" applyFont="1" applyAlignment="1" applyProtection="1">
      <alignment horizontal="left"/>
      <protection hidden="1"/>
    </xf>
    <xf numFmtId="14" fontId="36" fillId="0" borderId="0" xfId="0" applyNumberFormat="1" applyFont="1" applyAlignment="1" applyProtection="1">
      <alignment horizontal="center"/>
      <protection hidden="1"/>
    </xf>
    <xf numFmtId="14" fontId="10" fillId="0" borderId="0" xfId="0" applyNumberFormat="1" applyFont="1" applyAlignment="1" applyProtection="1">
      <alignment/>
      <protection hidden="1"/>
    </xf>
    <xf numFmtId="14" fontId="36" fillId="37" borderId="0" xfId="0" applyNumberFormat="1" applyFont="1" applyFill="1" applyAlignment="1" applyProtection="1">
      <alignment/>
      <protection hidden="1"/>
    </xf>
    <xf numFmtId="178" fontId="16" fillId="0" borderId="0" xfId="0" applyNumberFormat="1" applyFont="1" applyFill="1" applyBorder="1" applyAlignment="1" applyProtection="1">
      <alignment horizontal="left" vertical="top"/>
      <protection hidden="1"/>
    </xf>
    <xf numFmtId="14" fontId="36" fillId="0" borderId="0" xfId="0" applyNumberFormat="1" applyFont="1" applyAlignment="1" applyProtection="1">
      <alignment/>
      <protection hidden="1"/>
    </xf>
    <xf numFmtId="0" fontId="39" fillId="0" borderId="0" xfId="0" applyFont="1" applyAlignment="1">
      <alignment/>
    </xf>
    <xf numFmtId="183" fontId="13" fillId="0" borderId="25" xfId="0" applyNumberFormat="1" applyFont="1" applyBorder="1" applyAlignment="1" applyProtection="1">
      <alignment horizontal="center" vertical="center"/>
      <protection/>
    </xf>
    <xf numFmtId="183" fontId="13" fillId="0" borderId="26" xfId="0" applyNumberFormat="1" applyFont="1" applyBorder="1" applyAlignment="1" applyProtection="1">
      <alignment horizontal="center" vertical="center"/>
      <protection/>
    </xf>
    <xf numFmtId="181" fontId="29" fillId="0" borderId="26" xfId="0" applyNumberFormat="1" applyFont="1" applyBorder="1" applyAlignment="1" applyProtection="1">
      <alignment horizontal="left" vertical="center"/>
      <protection hidden="1"/>
    </xf>
    <xf numFmtId="181" fontId="29" fillId="0" borderId="27" xfId="0" applyNumberFormat="1" applyFont="1" applyBorder="1" applyAlignment="1" applyProtection="1">
      <alignment horizontal="left" vertical="center"/>
      <protection hidden="1"/>
    </xf>
    <xf numFmtId="181" fontId="29" fillId="0" borderId="28" xfId="0" applyNumberFormat="1" applyFont="1" applyBorder="1" applyAlignment="1" applyProtection="1">
      <alignment horizontal="left" vertical="center"/>
      <protection hidden="1"/>
    </xf>
    <xf numFmtId="181" fontId="29" fillId="0" borderId="13" xfId="0" applyNumberFormat="1" applyFont="1" applyBorder="1" applyAlignment="1" applyProtection="1">
      <alignment horizontal="center" vertical="center"/>
      <protection hidden="1"/>
    </xf>
    <xf numFmtId="0" fontId="7" fillId="0" borderId="0" xfId="43" applyAlignment="1" applyProtection="1">
      <alignment/>
      <protection/>
    </xf>
    <xf numFmtId="0" fontId="7" fillId="0" borderId="25" xfId="43" applyBorder="1" applyAlignment="1" applyProtection="1">
      <alignment vertical="center"/>
      <protection/>
    </xf>
    <xf numFmtId="14" fontId="0" fillId="0" borderId="0" xfId="0" applyNumberFormat="1" applyAlignment="1">
      <alignment/>
    </xf>
    <xf numFmtId="0" fontId="0" fillId="0" borderId="0" xfId="51">
      <alignment/>
      <protection/>
    </xf>
    <xf numFmtId="22" fontId="0" fillId="0" borderId="0" xfId="51" applyNumberFormat="1">
      <alignment/>
      <protection/>
    </xf>
    <xf numFmtId="0" fontId="12" fillId="0" borderId="0" xfId="51" applyFont="1">
      <alignment/>
      <protection/>
    </xf>
    <xf numFmtId="0" fontId="44" fillId="15" borderId="0" xfId="51" applyFont="1" applyFill="1">
      <alignment/>
      <protection/>
    </xf>
    <xf numFmtId="0" fontId="0" fillId="0" borderId="0" xfId="51" applyProtection="1">
      <alignment/>
      <protection locked="0"/>
    </xf>
    <xf numFmtId="201" fontId="95" fillId="0" borderId="0" xfId="51" applyNumberFormat="1" applyFont="1" applyProtection="1">
      <alignment/>
      <protection hidden="1"/>
    </xf>
    <xf numFmtId="16" fontId="22" fillId="38" borderId="0" xfId="51" applyNumberFormat="1" applyFont="1" applyFill="1">
      <alignment/>
      <protection/>
    </xf>
    <xf numFmtId="16" fontId="22" fillId="0" borderId="0" xfId="51" applyNumberFormat="1" applyFont="1">
      <alignment/>
      <protection/>
    </xf>
    <xf numFmtId="15" fontId="22" fillId="0" borderId="0" xfId="51" applyNumberFormat="1" applyFont="1">
      <alignment/>
      <protection/>
    </xf>
    <xf numFmtId="0" fontId="96" fillId="38" borderId="0" xfId="51" applyFont="1" applyFill="1" applyProtection="1">
      <alignment/>
      <protection hidden="1"/>
    </xf>
    <xf numFmtId="192" fontId="22" fillId="0" borderId="0" xfId="51" applyNumberFormat="1" applyFont="1">
      <alignment/>
      <protection/>
    </xf>
    <xf numFmtId="201" fontId="97" fillId="0" borderId="0" xfId="51" applyNumberFormat="1" applyFont="1" applyProtection="1">
      <alignment/>
      <protection hidden="1"/>
    </xf>
    <xf numFmtId="0" fontId="45" fillId="0" borderId="0" xfId="51" applyFont="1">
      <alignment/>
      <protection/>
    </xf>
    <xf numFmtId="0" fontId="98" fillId="0" borderId="0" xfId="51" applyFont="1" applyFill="1" applyProtection="1">
      <alignment/>
      <protection hidden="1"/>
    </xf>
    <xf numFmtId="192" fontId="22" fillId="0" borderId="0" xfId="51" applyNumberFormat="1" applyFont="1" applyProtection="1">
      <alignment/>
      <protection locked="0"/>
    </xf>
    <xf numFmtId="0" fontId="22" fillId="0" borderId="0" xfId="51" applyNumberFormat="1" applyFont="1" applyProtection="1">
      <alignment/>
      <protection locked="0"/>
    </xf>
    <xf numFmtId="201" fontId="95" fillId="0" borderId="0" xfId="51" applyNumberFormat="1" applyFont="1" applyAlignment="1" applyProtection="1">
      <alignment horizontal="center"/>
      <protection hidden="1"/>
    </xf>
    <xf numFmtId="181" fontId="0" fillId="0" borderId="0" xfId="51" applyNumberFormat="1" applyProtection="1">
      <alignment/>
      <protection locked="0"/>
    </xf>
    <xf numFmtId="0" fontId="46" fillId="0" borderId="0" xfId="51" applyFont="1" applyAlignment="1" applyProtection="1">
      <alignment horizontal="center"/>
      <protection hidden="1"/>
    </xf>
    <xf numFmtId="0" fontId="46" fillId="0" borderId="0" xfId="51" applyFont="1" applyProtection="1">
      <alignment/>
      <protection hidden="1"/>
    </xf>
    <xf numFmtId="14" fontId="0" fillId="0" borderId="0" xfId="51" applyNumberFormat="1" applyProtection="1">
      <alignment/>
      <protection locked="0"/>
    </xf>
    <xf numFmtId="14" fontId="0" fillId="39" borderId="0" xfId="51" applyNumberFormat="1" applyFill="1" applyProtection="1">
      <alignment/>
      <protection locked="0"/>
    </xf>
    <xf numFmtId="14" fontId="99" fillId="22" borderId="0" xfId="51" applyNumberFormat="1" applyFont="1" applyFill="1" applyProtection="1">
      <alignment/>
      <protection locked="0"/>
    </xf>
    <xf numFmtId="0" fontId="43" fillId="0" borderId="0" xfId="51" applyFont="1" applyProtection="1">
      <alignment/>
      <protection hidden="1"/>
    </xf>
    <xf numFmtId="0" fontId="47" fillId="40" borderId="0" xfId="51" applyFont="1" applyFill="1" applyAlignment="1" applyProtection="1">
      <alignment horizontal="center"/>
      <protection hidden="1" locked="0"/>
    </xf>
    <xf numFmtId="0" fontId="48" fillId="0" borderId="0" xfId="51" applyFont="1" applyAlignment="1" applyProtection="1">
      <alignment vertical="center" textRotation="90"/>
      <protection locked="0"/>
    </xf>
    <xf numFmtId="0" fontId="49" fillId="40" borderId="0" xfId="51" applyFont="1" applyFill="1" applyAlignment="1" applyProtection="1">
      <alignment horizontal="center" vertical="center"/>
      <protection hidden="1" locked="0"/>
    </xf>
    <xf numFmtId="0" fontId="50" fillId="40" borderId="0" xfId="51" applyFont="1" applyFill="1" applyAlignment="1" applyProtection="1">
      <alignment horizontal="center" vertical="center" wrapText="1"/>
      <protection hidden="1" locked="0"/>
    </xf>
    <xf numFmtId="202" fontId="0" fillId="0" borderId="0" xfId="51" applyNumberFormat="1" applyAlignment="1" applyProtection="1">
      <alignment horizontal="center"/>
      <protection hidden="1"/>
    </xf>
    <xf numFmtId="0" fontId="45" fillId="0" borderId="0" xfId="51" applyFont="1" applyProtection="1">
      <alignment/>
      <protection locked="0"/>
    </xf>
    <xf numFmtId="0" fontId="96" fillId="0" borderId="0" xfId="51" applyFont="1" applyProtection="1">
      <alignment/>
      <protection locked="0"/>
    </xf>
    <xf numFmtId="16" fontId="12" fillId="0" borderId="0" xfId="51" applyNumberFormat="1" applyFont="1" applyProtection="1">
      <alignment/>
      <protection hidden="1"/>
    </xf>
    <xf numFmtId="0" fontId="48" fillId="0" borderId="0" xfId="51" applyFont="1">
      <alignment/>
      <protection/>
    </xf>
    <xf numFmtId="0" fontId="22" fillId="0" borderId="0" xfId="0" applyFont="1" applyAlignment="1" applyProtection="1">
      <alignment horizontal="center"/>
      <protection hidden="1"/>
    </xf>
    <xf numFmtId="0" fontId="100" fillId="0" borderId="0" xfId="0" applyFont="1" applyAlignment="1">
      <alignment horizontal="center" vertical="center" wrapText="1"/>
    </xf>
    <xf numFmtId="176" fontId="17" fillId="0" borderId="10" xfId="0" applyNumberFormat="1" applyFont="1" applyBorder="1" applyAlignment="1" applyProtection="1">
      <alignment horizontal="left" vertical="center"/>
      <protection hidden="1"/>
    </xf>
    <xf numFmtId="0" fontId="18" fillId="0" borderId="0" xfId="43" applyFont="1" applyAlignment="1" applyProtection="1">
      <alignment horizontal="center"/>
      <protection hidden="1"/>
    </xf>
    <xf numFmtId="0" fontId="9" fillId="0" borderId="0" xfId="0" applyFont="1" applyAlignment="1" applyProtection="1">
      <alignment horizontal="right"/>
      <protection hidden="1"/>
    </xf>
    <xf numFmtId="0" fontId="0" fillId="0" borderId="0" xfId="0" applyAlignment="1" applyProtection="1">
      <alignment/>
      <protection hidden="1"/>
    </xf>
    <xf numFmtId="14" fontId="17" fillId="0" borderId="10" xfId="0" applyNumberFormat="1" applyFont="1" applyBorder="1" applyAlignment="1" applyProtection="1">
      <alignment horizontal="left" vertical="center"/>
      <protection hidden="1"/>
    </xf>
    <xf numFmtId="183" fontId="20" fillId="0" borderId="0" xfId="0" applyNumberFormat="1" applyFont="1" applyBorder="1" applyAlignment="1" applyProtection="1" quotePrefix="1">
      <alignment horizontal="center"/>
      <protection hidden="1"/>
    </xf>
    <xf numFmtId="0" fontId="40" fillId="0" borderId="0" xfId="43" applyFont="1" applyAlignment="1" applyProtection="1">
      <alignment horizontal="center"/>
      <protection/>
    </xf>
    <xf numFmtId="0" fontId="3" fillId="0" borderId="0" xfId="0" applyFont="1" applyAlignment="1">
      <alignment horizontal="center"/>
    </xf>
    <xf numFmtId="0" fontId="41" fillId="0" borderId="0" xfId="43" applyFont="1" applyAlignment="1" applyProtection="1">
      <alignment horizontal="center"/>
      <protection hidden="1"/>
    </xf>
    <xf numFmtId="0" fontId="0" fillId="0" borderId="0" xfId="0" applyAlignment="1">
      <alignment horizontal="center"/>
    </xf>
    <xf numFmtId="0" fontId="16" fillId="0" borderId="13" xfId="0" applyFont="1" applyBorder="1" applyAlignment="1" applyProtection="1">
      <alignment horizontal="center" vertical="center"/>
      <protection hidden="1"/>
    </xf>
    <xf numFmtId="0" fontId="16" fillId="0" borderId="13" xfId="0" applyFont="1" applyBorder="1" applyAlignment="1" applyProtection="1">
      <alignment horizontal="center"/>
      <protection hidden="1"/>
    </xf>
    <xf numFmtId="0" fontId="16" fillId="0" borderId="14" xfId="0" applyFont="1" applyBorder="1" applyAlignment="1" applyProtection="1">
      <alignment horizontal="center" vertical="center"/>
      <protection hidden="1"/>
    </xf>
    <xf numFmtId="0" fontId="16" fillId="0" borderId="14" xfId="0" applyFont="1" applyBorder="1" applyAlignment="1" applyProtection="1">
      <alignment horizontal="center"/>
      <protection hidden="1"/>
    </xf>
    <xf numFmtId="183" fontId="16" fillId="0" borderId="13" xfId="0" applyNumberFormat="1" applyFont="1" applyBorder="1" applyAlignment="1" applyProtection="1">
      <alignment vertical="center"/>
      <protection hidden="1"/>
    </xf>
    <xf numFmtId="0" fontId="16" fillId="0" borderId="13" xfId="0" applyFont="1" applyBorder="1" applyAlignment="1" applyProtection="1">
      <alignment/>
      <protection hidden="1"/>
    </xf>
    <xf numFmtId="0" fontId="16" fillId="0" borderId="29" xfId="0" applyFont="1" applyBorder="1" applyAlignment="1" applyProtection="1">
      <alignment horizontal="center" vertical="center"/>
      <protection hidden="1"/>
    </xf>
    <xf numFmtId="0" fontId="16" fillId="0" borderId="0" xfId="0" applyFont="1" applyAlignment="1" applyProtection="1">
      <alignment horizontal="center"/>
      <protection hidden="1"/>
    </xf>
    <xf numFmtId="184" fontId="16" fillId="0" borderId="30" xfId="0" applyNumberFormat="1" applyFont="1" applyBorder="1" applyAlignment="1" applyProtection="1">
      <alignment horizontal="center" vertical="center" wrapText="1"/>
      <protection hidden="1"/>
    </xf>
    <xf numFmtId="184" fontId="16" fillId="0" borderId="31" xfId="0" applyNumberFormat="1" applyFont="1" applyBorder="1" applyAlignment="1" applyProtection="1">
      <alignment horizontal="center" vertical="center" wrapText="1"/>
      <protection hidden="1"/>
    </xf>
    <xf numFmtId="184" fontId="16" fillId="0" borderId="32" xfId="0" applyNumberFormat="1" applyFont="1" applyBorder="1" applyAlignment="1" applyProtection="1">
      <alignment horizontal="center" vertical="center" wrapText="1"/>
      <protection hidden="1"/>
    </xf>
    <xf numFmtId="0" fontId="14" fillId="0" borderId="13" xfId="0" applyFont="1" applyBorder="1" applyAlignment="1" applyProtection="1">
      <alignment vertical="center" wrapText="1"/>
      <protection hidden="1"/>
    </xf>
    <xf numFmtId="0" fontId="15" fillId="0" borderId="13" xfId="0" applyFont="1" applyBorder="1" applyAlignment="1" applyProtection="1">
      <alignment vertical="center" wrapText="1"/>
      <protection hidden="1"/>
    </xf>
    <xf numFmtId="183" fontId="16" fillId="0" borderId="14" xfId="0" applyNumberFormat="1" applyFont="1" applyBorder="1" applyAlignment="1" applyProtection="1">
      <alignment vertical="center"/>
      <protection hidden="1"/>
    </xf>
    <xf numFmtId="0" fontId="16" fillId="0" borderId="14" xfId="0" applyFont="1" applyBorder="1" applyAlignment="1" applyProtection="1">
      <alignment/>
      <protection hidden="1"/>
    </xf>
    <xf numFmtId="0" fontId="14" fillId="0" borderId="33" xfId="0" applyFont="1" applyBorder="1" applyAlignment="1" applyProtection="1">
      <alignment vertical="center" wrapText="1"/>
      <protection hidden="1"/>
    </xf>
    <xf numFmtId="0" fontId="15" fillId="0" borderId="34" xfId="0" applyFont="1" applyBorder="1" applyAlignment="1" applyProtection="1">
      <alignment vertical="center" wrapText="1"/>
      <protection hidden="1"/>
    </xf>
    <xf numFmtId="0" fontId="15" fillId="0" borderId="35" xfId="0" applyFont="1" applyBorder="1" applyAlignment="1" applyProtection="1">
      <alignment vertical="center" wrapText="1"/>
      <protection hidden="1"/>
    </xf>
    <xf numFmtId="0" fontId="16" fillId="0" borderId="11" xfId="0" applyFont="1" applyBorder="1" applyAlignment="1" applyProtection="1">
      <alignment horizontal="center" vertical="center"/>
      <protection hidden="1"/>
    </xf>
    <xf numFmtId="0" fontId="16" fillId="0" borderId="11" xfId="0" applyFont="1" applyBorder="1" applyAlignment="1" applyProtection="1">
      <alignment/>
      <protection hidden="1"/>
    </xf>
    <xf numFmtId="0" fontId="14" fillId="0" borderId="14" xfId="0" applyFont="1" applyBorder="1" applyAlignment="1" applyProtection="1">
      <alignment vertical="center" wrapText="1"/>
      <protection hidden="1"/>
    </xf>
    <xf numFmtId="0" fontId="15" fillId="0" borderId="14" xfId="0" applyFont="1" applyBorder="1" applyAlignment="1" applyProtection="1">
      <alignment vertical="center" wrapText="1"/>
      <protection hidden="1"/>
    </xf>
    <xf numFmtId="176" fontId="17" fillId="0" borderId="0" xfId="0" applyNumberFormat="1" applyFont="1" applyBorder="1" applyAlignment="1" applyProtection="1">
      <alignment horizontal="left" vertical="center"/>
      <protection hidden="1"/>
    </xf>
    <xf numFmtId="14" fontId="17" fillId="0" borderId="0" xfId="0" applyNumberFormat="1" applyFont="1" applyBorder="1" applyAlignment="1" applyProtection="1">
      <alignment horizontal="left" vertical="center"/>
      <protection hidden="1"/>
    </xf>
    <xf numFmtId="14" fontId="10" fillId="0" borderId="0" xfId="0" applyNumberFormat="1" applyFont="1" applyAlignment="1" applyProtection="1">
      <alignment horizontal="center"/>
      <protection hidden="1"/>
    </xf>
    <xf numFmtId="22" fontId="2" fillId="0" borderId="0" xfId="0" applyNumberFormat="1" applyFont="1" applyBorder="1" applyAlignment="1" applyProtection="1">
      <alignment horizontal="left"/>
      <protection hidden="1"/>
    </xf>
    <xf numFmtId="0" fontId="16" fillId="38" borderId="36" xfId="0" applyFont="1" applyFill="1" applyBorder="1" applyAlignment="1" applyProtection="1">
      <alignment horizontal="center" vertical="center" wrapText="1"/>
      <protection hidden="1"/>
    </xf>
    <xf numFmtId="0" fontId="16" fillId="38" borderId="10" xfId="0" applyFont="1" applyFill="1" applyBorder="1" applyAlignment="1" applyProtection="1">
      <alignment horizontal="center" vertical="center"/>
      <protection hidden="1"/>
    </xf>
    <xf numFmtId="183" fontId="13" fillId="0" borderId="0" xfId="0" applyNumberFormat="1" applyFont="1" applyAlignment="1" applyProtection="1">
      <alignment horizontal="center" vertical="center" wrapText="1"/>
      <protection hidden="1"/>
    </xf>
    <xf numFmtId="184" fontId="16" fillId="41" borderId="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protection hidden="1"/>
    </xf>
    <xf numFmtId="183" fontId="16" fillId="0" borderId="37" xfId="0" applyNumberFormat="1" applyFont="1" applyBorder="1" applyAlignment="1" applyProtection="1">
      <alignment horizontal="center" vertical="center"/>
      <protection hidden="1"/>
    </xf>
    <xf numFmtId="183" fontId="16" fillId="0" borderId="38" xfId="0" applyNumberFormat="1" applyFont="1" applyBorder="1" applyAlignment="1" applyProtection="1">
      <alignment horizontal="center" vertical="center"/>
      <protection hidden="1"/>
    </xf>
    <xf numFmtId="0" fontId="16" fillId="0" borderId="39" xfId="0" applyFont="1" applyBorder="1" applyAlignment="1" applyProtection="1">
      <alignment/>
      <protection hidden="1"/>
    </xf>
    <xf numFmtId="183" fontId="16" fillId="0" borderId="29" xfId="0" applyNumberFormat="1" applyFont="1" applyBorder="1" applyAlignment="1" applyProtection="1">
      <alignment vertical="center"/>
      <protection hidden="1"/>
    </xf>
    <xf numFmtId="183" fontId="16" fillId="0" borderId="0" xfId="0" applyNumberFormat="1" applyFont="1" applyBorder="1" applyAlignment="1" applyProtection="1">
      <alignment vertical="center"/>
      <protection hidden="1"/>
    </xf>
    <xf numFmtId="0" fontId="16" fillId="0" borderId="23" xfId="0" applyFont="1" applyBorder="1" applyAlignment="1" applyProtection="1">
      <alignment/>
      <protection hidden="1"/>
    </xf>
    <xf numFmtId="0" fontId="16" fillId="0" borderId="36" xfId="0" applyFont="1" applyBorder="1" applyAlignment="1" applyProtection="1">
      <alignment horizontal="center" vertical="center" wrapText="1"/>
      <protection hidden="1"/>
    </xf>
    <xf numFmtId="0" fontId="16" fillId="0" borderId="10" xfId="0" applyFont="1" applyBorder="1" applyAlignment="1" applyProtection="1">
      <alignment horizontal="center"/>
      <protection hidden="1"/>
    </xf>
    <xf numFmtId="0" fontId="18" fillId="0" borderId="0" xfId="43" applyFont="1" applyBorder="1" applyAlignment="1" applyProtection="1">
      <alignment horizontal="center"/>
      <protection hidden="1"/>
    </xf>
    <xf numFmtId="180" fontId="17" fillId="0" borderId="10" xfId="0" applyNumberFormat="1" applyFont="1" applyBorder="1" applyAlignment="1" applyProtection="1">
      <alignment horizontal="left" vertical="center"/>
      <protection hidden="1"/>
    </xf>
    <xf numFmtId="198" fontId="17" fillId="0" borderId="10" xfId="0" applyNumberFormat="1" applyFont="1" applyBorder="1" applyAlignment="1" applyProtection="1">
      <alignment horizontal="left" vertical="center"/>
      <protection hidden="1"/>
    </xf>
    <xf numFmtId="183" fontId="20" fillId="0" borderId="0" xfId="0" applyNumberFormat="1" applyFont="1" applyBorder="1" applyAlignment="1" applyProtection="1" quotePrefix="1">
      <alignment horizontal="left"/>
      <protection hidden="1"/>
    </xf>
    <xf numFmtId="183" fontId="20" fillId="0" borderId="0" xfId="0" applyNumberFormat="1" applyFont="1" applyBorder="1" applyAlignment="1" applyProtection="1">
      <alignment horizontal="left"/>
      <protection hidden="1"/>
    </xf>
    <xf numFmtId="0" fontId="14" fillId="0" borderId="30" xfId="0" applyFont="1" applyBorder="1" applyAlignment="1" applyProtection="1">
      <alignment vertical="center" wrapText="1"/>
      <protection hidden="1"/>
    </xf>
    <xf numFmtId="0" fontId="0" fillId="0" borderId="31" xfId="0" applyBorder="1" applyAlignment="1">
      <alignment/>
    </xf>
    <xf numFmtId="0" fontId="0" fillId="0" borderId="32" xfId="0" applyBorder="1" applyAlignment="1">
      <alignment/>
    </xf>
    <xf numFmtId="0" fontId="0" fillId="0" borderId="34" xfId="0" applyBorder="1" applyAlignment="1">
      <alignment/>
    </xf>
    <xf numFmtId="0" fontId="0" fillId="0" borderId="35" xfId="0" applyBorder="1" applyAlignment="1">
      <alignment/>
    </xf>
    <xf numFmtId="0" fontId="14" fillId="0" borderId="40" xfId="0" applyFont="1" applyBorder="1" applyAlignment="1" applyProtection="1">
      <alignment vertical="center" wrapText="1"/>
      <protection hidden="1"/>
    </xf>
    <xf numFmtId="0" fontId="0" fillId="0" borderId="41" xfId="0" applyBorder="1" applyAlignment="1">
      <alignment/>
    </xf>
    <xf numFmtId="0" fontId="0" fillId="0" borderId="42" xfId="0" applyBorder="1" applyAlignment="1">
      <alignment/>
    </xf>
    <xf numFmtId="180" fontId="17" fillId="0" borderId="0" xfId="0" applyNumberFormat="1" applyFont="1" applyBorder="1" applyAlignment="1" applyProtection="1">
      <alignment horizontal="left" vertical="center"/>
      <protection hidden="1"/>
    </xf>
    <xf numFmtId="179" fontId="17" fillId="0" borderId="0" xfId="0" applyNumberFormat="1" applyFont="1" applyBorder="1" applyAlignment="1" applyProtection="1">
      <alignment horizontal="left" vertical="center"/>
      <protection hidden="1"/>
    </xf>
    <xf numFmtId="0" fontId="29" fillId="0" borderId="0" xfId="0" applyFont="1" applyAlignment="1" applyProtection="1">
      <alignment vertical="center" wrapText="1"/>
      <protection locked="0"/>
    </xf>
    <xf numFmtId="0" fontId="0" fillId="0" borderId="0" xfId="0" applyAlignment="1">
      <alignment vertical="center" wrapText="1"/>
    </xf>
    <xf numFmtId="0" fontId="29" fillId="0" borderId="0" xfId="0" applyFont="1" applyBorder="1" applyAlignment="1" applyProtection="1">
      <alignment horizontal="left" vertical="center" wrapText="1"/>
      <protection hidden="1" locked="0"/>
    </xf>
    <xf numFmtId="0" fontId="29" fillId="0" borderId="0" xfId="0" applyFont="1" applyBorder="1" applyAlignment="1" applyProtection="1">
      <alignment vertical="center" wrapText="1"/>
      <protection hidden="1" locked="0"/>
    </xf>
    <xf numFmtId="0" fontId="0" fillId="0" borderId="0" xfId="0" applyBorder="1" applyAlignment="1" applyProtection="1">
      <alignment vertical="center" wrapText="1"/>
      <protection hidden="1" locked="0"/>
    </xf>
    <xf numFmtId="0" fontId="29" fillId="0" borderId="0" xfId="0" applyFont="1" applyAlignment="1" applyProtection="1">
      <alignment horizontal="center" vertical="center" wrapText="1"/>
      <protection hidden="1"/>
    </xf>
    <xf numFmtId="0" fontId="29" fillId="0" borderId="30" xfId="0" applyFont="1" applyBorder="1" applyAlignment="1" applyProtection="1">
      <alignment horizontal="left" vertical="center" wrapText="1"/>
      <protection hidden="1"/>
    </xf>
    <xf numFmtId="0" fontId="29" fillId="0" borderId="31" xfId="0" applyFont="1" applyBorder="1" applyAlignment="1" applyProtection="1">
      <alignment horizontal="left" vertical="center" wrapText="1"/>
      <protection hidden="1"/>
    </xf>
    <xf numFmtId="0" fontId="29" fillId="0" borderId="32" xfId="0" applyFont="1" applyBorder="1" applyAlignment="1" applyProtection="1">
      <alignment horizontal="left" vertical="center" wrapText="1"/>
      <protection hidden="1"/>
    </xf>
    <xf numFmtId="0" fontId="29" fillId="0" borderId="13" xfId="0" applyFont="1" applyBorder="1" applyAlignment="1" applyProtection="1">
      <alignment horizontal="left" vertical="center" wrapText="1"/>
      <protection hidden="1"/>
    </xf>
    <xf numFmtId="0" fontId="29" fillId="0" borderId="10" xfId="0" applyFont="1" applyBorder="1" applyAlignment="1" applyProtection="1">
      <alignment horizontal="left" vertical="center" wrapText="1"/>
      <protection hidden="1" locked="0"/>
    </xf>
    <xf numFmtId="183" fontId="29" fillId="0" borderId="43" xfId="0" applyNumberFormat="1" applyFont="1" applyBorder="1" applyAlignment="1" applyProtection="1">
      <alignment horizontal="center" vertical="center"/>
      <protection hidden="1" locked="0"/>
    </xf>
    <xf numFmtId="183" fontId="29" fillId="0" borderId="0" xfId="0" applyNumberFormat="1" applyFont="1" applyBorder="1" applyAlignment="1" applyProtection="1">
      <alignment horizontal="center" vertical="center"/>
      <protection hidden="1" locked="0"/>
    </xf>
    <xf numFmtId="199" fontId="28" fillId="0" borderId="0" xfId="0" applyNumberFormat="1" applyFont="1" applyAlignment="1" applyProtection="1">
      <alignment horizontal="left"/>
      <protection hidden="1"/>
    </xf>
    <xf numFmtId="198" fontId="28" fillId="0" borderId="0" xfId="0" applyNumberFormat="1" applyFont="1" applyAlignment="1" applyProtection="1">
      <alignment horizontal="left"/>
      <protection hidden="1"/>
    </xf>
    <xf numFmtId="0" fontId="29" fillId="0" borderId="25" xfId="0" applyFont="1" applyBorder="1" applyAlignment="1" applyProtection="1">
      <alignment horizontal="left" vertical="center"/>
      <protection hidden="1" locked="0"/>
    </xf>
    <xf numFmtId="0" fontId="7" fillId="0" borderId="0" xfId="43" applyAlignment="1" applyProtection="1">
      <alignment horizontal="center"/>
      <protection/>
    </xf>
    <xf numFmtId="0" fontId="9" fillId="0" borderId="0" xfId="0" applyFont="1" applyAlignment="1" applyProtection="1">
      <alignment horizontal="right"/>
      <protection locked="0"/>
    </xf>
    <xf numFmtId="0" fontId="0" fillId="0" borderId="0" xfId="0" applyAlignment="1" applyProtection="1">
      <alignment/>
      <protection locked="0"/>
    </xf>
    <xf numFmtId="0" fontId="42" fillId="0" borderId="0" xfId="43" applyFont="1" applyBorder="1" applyAlignment="1" applyProtection="1">
      <alignment horizontal="center"/>
      <protection hidden="1"/>
    </xf>
    <xf numFmtId="183" fontId="29" fillId="0" borderId="0" xfId="0" applyNumberFormat="1" applyFont="1" applyAlignment="1" applyProtection="1">
      <alignment horizontal="center" vertical="center"/>
      <protection locked="0"/>
    </xf>
    <xf numFmtId="183" fontId="29" fillId="0" borderId="44" xfId="0" applyNumberFormat="1" applyFont="1" applyBorder="1" applyAlignment="1" applyProtection="1">
      <alignment horizontal="center" vertical="center"/>
      <protection hidden="1" locked="0"/>
    </xf>
    <xf numFmtId="183" fontId="29" fillId="0" borderId="10" xfId="0" applyNumberFormat="1" applyFont="1" applyBorder="1" applyAlignment="1" applyProtection="1">
      <alignment horizontal="center" vertical="center"/>
      <protection hidden="1" locked="0"/>
    </xf>
    <xf numFmtId="183" fontId="29" fillId="0" borderId="0" xfId="0" applyNumberFormat="1" applyFont="1" applyAlignment="1" applyProtection="1">
      <alignment horizontal="center" vertical="center"/>
      <protection hidden="1"/>
    </xf>
    <xf numFmtId="0" fontId="22" fillId="0" borderId="0" xfId="0" applyFont="1" applyAlignment="1">
      <alignment vertical="center"/>
    </xf>
    <xf numFmtId="183" fontId="29" fillId="0" borderId="45" xfId="0" applyNumberFormat="1" applyFont="1" applyBorder="1" applyAlignment="1" applyProtection="1">
      <alignment horizontal="center" vertical="center"/>
      <protection hidden="1" locked="0"/>
    </xf>
    <xf numFmtId="183" fontId="29" fillId="0" borderId="25" xfId="0" applyNumberFormat="1" applyFont="1" applyBorder="1" applyAlignment="1" applyProtection="1">
      <alignment horizontal="center" vertical="center"/>
      <protection hidden="1" locked="0"/>
    </xf>
    <xf numFmtId="183" fontId="29" fillId="0" borderId="30" xfId="0" applyNumberFormat="1" applyFont="1" applyBorder="1" applyAlignment="1" applyProtection="1">
      <alignment horizontal="center" vertical="center"/>
      <protection hidden="1"/>
    </xf>
    <xf numFmtId="183" fontId="29" fillId="0" borderId="32" xfId="0" applyNumberFormat="1" applyFont="1" applyBorder="1" applyAlignment="1" applyProtection="1">
      <alignment horizontal="center" vertical="center"/>
      <protection hidden="1"/>
    </xf>
    <xf numFmtId="183" fontId="29" fillId="0" borderId="13" xfId="0" applyNumberFormat="1" applyFont="1" applyBorder="1" applyAlignment="1" applyProtection="1">
      <alignment horizontal="center" vertical="center"/>
      <protection hidden="1"/>
    </xf>
    <xf numFmtId="0" fontId="22" fillId="0" borderId="13" xfId="0" applyFont="1" applyBorder="1" applyAlignment="1" applyProtection="1">
      <alignment vertical="center"/>
      <protection hidden="1"/>
    </xf>
    <xf numFmtId="0" fontId="35" fillId="0" borderId="0" xfId="43" applyFont="1" applyAlignment="1" applyProtection="1">
      <alignment horizontal="center"/>
      <protection/>
    </xf>
    <xf numFmtId="183" fontId="13" fillId="0" borderId="13" xfId="0" applyNumberFormat="1" applyFont="1" applyBorder="1" applyAlignment="1" applyProtection="1">
      <alignment horizontal="center" vertical="center"/>
      <protection hidden="1"/>
    </xf>
    <xf numFmtId="183" fontId="29" fillId="0" borderId="43" xfId="0" applyNumberFormat="1" applyFont="1" applyBorder="1" applyAlignment="1" applyProtection="1">
      <alignment horizontal="center" vertical="center"/>
      <protection/>
    </xf>
    <xf numFmtId="183" fontId="29" fillId="0" borderId="0" xfId="0" applyNumberFormat="1" applyFont="1" applyBorder="1" applyAlignment="1" applyProtection="1">
      <alignment horizontal="center" vertical="center"/>
      <protection/>
    </xf>
    <xf numFmtId="0" fontId="29" fillId="0" borderId="0" xfId="0" applyFont="1" applyBorder="1" applyAlignment="1" applyProtection="1">
      <alignment vertical="center" wrapText="1"/>
      <protection/>
    </xf>
    <xf numFmtId="0" fontId="29" fillId="0" borderId="27" xfId="0" applyFont="1" applyBorder="1" applyAlignment="1" applyProtection="1">
      <alignment vertical="center" wrapText="1"/>
      <protection/>
    </xf>
    <xf numFmtId="183" fontId="7" fillId="0" borderId="45" xfId="43" applyNumberFormat="1" applyBorder="1" applyAlignment="1" applyProtection="1">
      <alignment horizontal="center" vertical="center"/>
      <protection/>
    </xf>
    <xf numFmtId="183" fontId="7" fillId="0" borderId="25" xfId="43" applyNumberFormat="1" applyBorder="1" applyAlignment="1" applyProtection="1">
      <alignment horizontal="center" vertical="center"/>
      <protection/>
    </xf>
    <xf numFmtId="0" fontId="29" fillId="0" borderId="0" xfId="0" applyFont="1" applyBorder="1" applyAlignment="1" applyProtection="1">
      <alignment horizontal="left" vertical="center" wrapText="1"/>
      <protection/>
    </xf>
    <xf numFmtId="0" fontId="29" fillId="0" borderId="27" xfId="0" applyFont="1" applyBorder="1" applyAlignment="1" applyProtection="1">
      <alignment horizontal="left" vertical="center" wrapText="1"/>
      <protection/>
    </xf>
    <xf numFmtId="183" fontId="29" fillId="0" borderId="44" xfId="0" applyNumberFormat="1" applyFont="1" applyBorder="1" applyAlignment="1" applyProtection="1">
      <alignment horizontal="center" vertical="center"/>
      <protection/>
    </xf>
    <xf numFmtId="183" fontId="29" fillId="0" borderId="10" xfId="0" applyNumberFormat="1" applyFont="1" applyBorder="1" applyAlignment="1" applyProtection="1">
      <alignment horizontal="center" vertical="center"/>
      <protection/>
    </xf>
    <xf numFmtId="0" fontId="29" fillId="0" borderId="10" xfId="0" applyFont="1" applyBorder="1" applyAlignment="1" applyProtection="1">
      <alignment horizontal="left" vertical="center" wrapText="1"/>
      <protection/>
    </xf>
    <xf numFmtId="0" fontId="29" fillId="0" borderId="28" xfId="0" applyFont="1" applyBorder="1" applyAlignment="1" applyProtection="1">
      <alignment horizontal="left" vertical="center" wrapText="1"/>
      <protection/>
    </xf>
    <xf numFmtId="16" fontId="101" fillId="42" borderId="0" xfId="51" applyNumberFormat="1" applyFont="1" applyFill="1">
      <alignment/>
      <protection/>
    </xf>
    <xf numFmtId="181" fontId="102" fillId="0" borderId="0" xfId="51" applyNumberFormat="1" applyFont="1" applyProtection="1">
      <alignment/>
      <protection locked="0"/>
    </xf>
    <xf numFmtId="0" fontId="102" fillId="0" borderId="0" xfId="51" applyFont="1" applyProtection="1">
      <alignment/>
      <protection locked="0"/>
    </xf>
    <xf numFmtId="14" fontId="102" fillId="0" borderId="0" xfId="51" applyNumberFormat="1" applyFont="1" applyProtection="1">
      <alignment/>
      <protection locked="0"/>
    </xf>
    <xf numFmtId="14" fontId="102" fillId="39" borderId="0" xfId="51" applyNumberFormat="1" applyFont="1" applyFill="1" applyProtection="1">
      <alignment/>
      <protection locked="0"/>
    </xf>
    <xf numFmtId="0" fontId="103" fillId="0" borderId="0" xfId="0" applyFont="1" applyAlignment="1" applyProtection="1">
      <alignment horizontal="left"/>
      <protection hidden="1"/>
    </xf>
    <xf numFmtId="14" fontId="103" fillId="0" borderId="0" xfId="0" applyNumberFormat="1" applyFont="1" applyAlignment="1" applyProtection="1">
      <alignment horizontal="left"/>
      <protection hidden="1"/>
    </xf>
    <xf numFmtId="14" fontId="104" fillId="0" borderId="0" xfId="0" applyNumberFormat="1" applyFont="1" applyAlignment="1" applyProtection="1">
      <alignment horizontal="left"/>
      <protection hidden="1"/>
    </xf>
    <xf numFmtId="0" fontId="77" fillId="0" borderId="0" xfId="43" applyFont="1" applyAlignment="1" applyProtection="1">
      <alignment horizont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標準 2" xfId="51"/>
    <cellStyle name="良い" xfId="52"/>
    <cellStyle name="Followed Hyperlink" xfId="53"/>
    <cellStyle name="見出し 1" xfId="54"/>
    <cellStyle name="見出し 2" xfId="55"/>
    <cellStyle name="見出し 3" xfId="56"/>
    <cellStyle name="見出し 4" xfId="57"/>
    <cellStyle name="計算" xfId="58"/>
    <cellStyle name="説明文" xfId="59"/>
    <cellStyle name="警告文" xfId="60"/>
    <cellStyle name="Currency [0]" xfId="61"/>
    <cellStyle name="Currency" xfId="62"/>
    <cellStyle name="集計" xfId="63"/>
  </cellStyles>
  <dxfs count="347">
    <dxf>
      <font>
        <b/>
        <i/>
        <color theme="4" tint="-0.24993999302387238"/>
      </font>
    </dxf>
    <dxf>
      <font>
        <b/>
        <i val="0"/>
        <color rgb="FF0070C0"/>
      </font>
    </dxf>
    <dxf>
      <font>
        <b/>
        <i val="0"/>
        <color theme="8" tint="-0.24993999302387238"/>
      </font>
    </dxf>
    <dxf>
      <font>
        <b/>
        <i val="0"/>
      </font>
    </dxf>
    <dxf>
      <font>
        <b/>
        <i val="0"/>
      </font>
    </dxf>
    <dxf>
      <font>
        <b/>
        <i val="0"/>
      </font>
    </dxf>
    <dxf>
      <font>
        <b/>
        <i/>
        <color theme="4" tint="-0.24993999302387238"/>
      </font>
    </dxf>
    <dxf>
      <font>
        <b/>
        <i/>
        <color theme="4" tint="-0.24993999302387238"/>
      </font>
    </dxf>
    <dxf>
      <font>
        <b/>
        <i val="0"/>
        <color rgb="FF0070C0"/>
      </font>
    </dxf>
    <dxf>
      <font>
        <b/>
        <i val="0"/>
        <color theme="8" tint="-0.24993999302387238"/>
      </font>
    </dxf>
    <dxf>
      <font>
        <b/>
        <i val="0"/>
        <color theme="8" tint="-0.24993999302387238"/>
      </font>
    </dxf>
    <dxf>
      <font>
        <b/>
        <i val="0"/>
      </font>
    </dxf>
    <dxf>
      <fill>
        <patternFill>
          <bgColor indexed="47"/>
        </patternFill>
      </fill>
    </dxf>
    <dxf>
      <font>
        <b val="0"/>
        <i/>
      </font>
    </dxf>
    <dxf>
      <font>
        <b val="0"/>
        <i/>
      </font>
    </dxf>
    <dxf>
      <font>
        <b val="0"/>
        <i/>
      </font>
    </dxf>
    <dxf>
      <font>
        <b val="0"/>
        <i/>
        <strike val="0"/>
      </font>
      <border>
        <left style="thin"/>
        <right style="thin"/>
        <top style="thin"/>
        <bottom style="thin"/>
      </border>
    </dxf>
    <dxf>
      <font>
        <b/>
        <i val="0"/>
        <u val="single"/>
      </font>
      <fill>
        <patternFill>
          <bgColor indexed="53"/>
        </patternFill>
      </fill>
    </dxf>
    <dxf>
      <font>
        <b val="0"/>
        <i/>
      </font>
      <border>
        <left>
          <color indexed="63"/>
        </left>
        <right>
          <color indexed="63"/>
        </right>
        <top style="thin"/>
        <bottom>
          <color indexed="63"/>
        </bottom>
      </border>
    </dxf>
    <dxf>
      <font>
        <b val="0"/>
        <i/>
        <strike val="0"/>
      </font>
      <border>
        <left style="thin"/>
        <right style="thin"/>
        <top style="thin"/>
        <bottom style="thin"/>
      </border>
    </dxf>
    <dxf>
      <font>
        <b/>
        <i val="0"/>
        <u val="single"/>
      </font>
      <fill>
        <patternFill>
          <bgColor indexed="14"/>
        </patternFill>
      </fill>
    </dxf>
    <dxf>
      <font>
        <b val="0"/>
        <i/>
      </font>
      <border>
        <left>
          <color indexed="63"/>
        </left>
        <right>
          <color indexed="63"/>
        </right>
        <top style="thin"/>
        <bottom>
          <color indexed="63"/>
        </bottom>
      </border>
    </dxf>
    <dxf>
      <font>
        <b val="0"/>
        <i/>
        <strike val="0"/>
      </font>
      <border>
        <left style="thin"/>
        <right style="thin"/>
        <top style="thin"/>
        <bottom style="thin"/>
      </border>
    </dxf>
    <dxf>
      <font>
        <b/>
        <i val="0"/>
        <u val="single"/>
      </font>
      <fill>
        <patternFill>
          <bgColor indexed="61"/>
        </patternFill>
      </fill>
    </dxf>
    <dxf>
      <font>
        <b val="0"/>
        <i/>
      </font>
      <border>
        <left>
          <color indexed="63"/>
        </left>
        <right>
          <color indexed="63"/>
        </right>
        <top style="thin"/>
        <bottom>
          <color indexed="63"/>
        </bottom>
      </border>
    </dxf>
    <dxf>
      <font>
        <b val="0"/>
        <i/>
        <strike val="0"/>
      </font>
      <border>
        <left style="thin"/>
        <right style="thin"/>
        <top style="thin"/>
        <bottom style="thin"/>
      </border>
    </dxf>
    <dxf>
      <font>
        <b/>
        <i val="0"/>
        <u val="single"/>
      </font>
      <fill>
        <patternFill>
          <bgColor indexed="13"/>
        </patternFill>
      </fill>
    </dxf>
    <dxf>
      <font>
        <b val="0"/>
        <i/>
      </font>
      <border>
        <left>
          <color indexed="63"/>
        </left>
        <right>
          <color indexed="63"/>
        </right>
        <top style="thin"/>
        <bottom>
          <color indexed="63"/>
        </bottom>
      </border>
    </dxf>
    <dxf>
      <font>
        <b val="0"/>
        <i/>
        <strike val="0"/>
      </font>
      <border>
        <left style="thin"/>
        <right style="thin"/>
        <top style="thin"/>
        <bottom style="thin"/>
      </border>
    </dxf>
    <dxf>
      <font>
        <b/>
        <i val="0"/>
        <u val="single"/>
      </font>
      <fill>
        <patternFill>
          <bgColor indexed="57"/>
        </patternFill>
      </fill>
    </dxf>
    <dxf>
      <font>
        <b val="0"/>
        <i/>
      </font>
      <border>
        <left>
          <color indexed="63"/>
        </left>
        <right>
          <color indexed="63"/>
        </right>
        <top style="thin"/>
        <bottom>
          <color indexed="63"/>
        </bottom>
      </border>
    </dxf>
    <dxf>
      <font>
        <b val="0"/>
        <i/>
        <strike val="0"/>
      </font>
      <border>
        <left style="thin"/>
        <right style="thin"/>
        <top style="thin"/>
        <bottom style="thin"/>
      </border>
    </dxf>
    <dxf>
      <font>
        <b/>
        <i val="0"/>
        <u val="single"/>
      </font>
      <fill>
        <patternFill>
          <bgColor indexed="10"/>
        </patternFill>
      </fill>
    </dxf>
    <dxf>
      <font>
        <b val="0"/>
        <i/>
      </font>
      <border>
        <left>
          <color indexed="63"/>
        </left>
        <right>
          <color indexed="63"/>
        </right>
        <top style="thin"/>
        <bottom>
          <color indexed="63"/>
        </bottom>
      </border>
    </dxf>
    <dxf>
      <font>
        <b val="0"/>
        <i/>
        <strike val="0"/>
      </font>
      <border>
        <left style="thin"/>
        <right style="thin"/>
        <top style="thin"/>
        <bottom style="thin"/>
      </border>
    </dxf>
    <dxf>
      <font>
        <b/>
        <i val="0"/>
        <u val="single"/>
      </font>
      <fill>
        <patternFill>
          <bgColor indexed="24"/>
        </patternFill>
      </fill>
    </dxf>
    <dxf>
      <font>
        <b val="0"/>
        <i/>
      </font>
      <border>
        <left>
          <color indexed="63"/>
        </left>
        <right>
          <color indexed="63"/>
        </right>
        <top style="thin"/>
        <bottom>
          <color indexed="63"/>
        </bottom>
      </border>
    </dxf>
    <dxf>
      <font>
        <b val="0"/>
        <i/>
        <strike val="0"/>
      </font>
      <border>
        <left style="thin"/>
        <right style="thin"/>
        <top style="thin"/>
        <bottom style="thin"/>
      </border>
    </dxf>
    <dxf>
      <font>
        <b/>
        <i val="0"/>
        <u val="single"/>
      </font>
    </dxf>
    <dxf>
      <font>
        <b val="0"/>
        <i/>
      </font>
      <border>
        <left>
          <color indexed="63"/>
        </left>
        <right>
          <color indexed="63"/>
        </right>
        <top style="thin"/>
        <bottom>
          <color indexed="63"/>
        </bottom>
      </border>
    </dxf>
    <dxf>
      <font>
        <b val="0"/>
        <i/>
      </font>
      <border>
        <left style="thin"/>
        <right style="thin"/>
        <top style="thin"/>
        <bottom style="thin"/>
      </border>
    </dxf>
    <dxf>
      <font>
        <b/>
        <i val="0"/>
        <u val="single"/>
      </font>
    </dxf>
    <dxf>
      <font>
        <b val="0"/>
        <i/>
      </font>
      <border>
        <left/>
        <right/>
        <top/>
        <bottom/>
      </border>
    </dxf>
    <dxf>
      <border>
        <left style="thin"/>
        <right>
          <color indexed="63"/>
        </right>
        <top>
          <color indexed="63"/>
        </top>
        <bottom>
          <color indexed="63"/>
        </bottom>
      </border>
    </dxf>
    <dxf>
      <border>
        <left style="thin"/>
        <right>
          <color indexed="63"/>
        </right>
        <top>
          <color indexed="63"/>
        </top>
        <bottom>
          <color indexed="63"/>
        </bottom>
      </border>
    </dxf>
    <dxf>
      <border>
        <left/>
        <right/>
        <top/>
        <bottom/>
      </border>
    </dxf>
    <dxf>
      <border>
        <left/>
        <right/>
        <top/>
        <bottom/>
      </border>
    </dxf>
    <dxf>
      <border>
        <left/>
        <right/>
        <top/>
        <bottom/>
      </border>
    </dxf>
    <dxf>
      <font>
        <b/>
        <i val="0"/>
        <u val="single"/>
      </font>
    </dxf>
    <dxf>
      <font>
        <b val="0"/>
        <i/>
      </font>
    </dxf>
    <dxf>
      <font>
        <b val="0"/>
        <i/>
      </font>
    </dxf>
    <dxf>
      <font>
        <b val="0"/>
        <i/>
      </font>
    </dxf>
    <dxf>
      <font>
        <b/>
        <i val="0"/>
        <color indexed="17"/>
      </font>
    </dxf>
    <dxf>
      <font>
        <b/>
        <i val="0"/>
        <color indexed="33"/>
      </font>
      <fill>
        <patternFill>
          <bgColor indexed="9"/>
        </patternFill>
      </fill>
    </dxf>
    <dxf>
      <font>
        <b val="0"/>
        <i/>
      </font>
    </dxf>
    <dxf>
      <font>
        <b val="0"/>
        <i/>
      </font>
    </dxf>
    <dxf>
      <font>
        <b val="0"/>
        <i/>
      </font>
    </dxf>
    <dxf>
      <font>
        <b/>
        <i val="0"/>
        <u val="single"/>
      </font>
    </dxf>
    <dxf>
      <font>
        <b val="0"/>
        <i/>
      </font>
    </dxf>
    <dxf>
      <fill>
        <patternFill>
          <bgColor indexed="13"/>
        </patternFill>
      </fill>
    </dxf>
    <dxf>
      <font>
        <b/>
        <i val="0"/>
        <u val="single"/>
      </font>
    </dxf>
    <dxf>
      <font>
        <b val="0"/>
        <i/>
      </font>
    </dxf>
    <dxf>
      <fill>
        <patternFill>
          <bgColor indexed="53"/>
        </patternFill>
      </fill>
    </dxf>
    <dxf>
      <font>
        <b/>
        <i val="0"/>
        <u val="single"/>
      </font>
    </dxf>
    <dxf>
      <font>
        <b val="0"/>
        <i/>
      </font>
    </dxf>
    <dxf>
      <fill>
        <patternFill>
          <bgColor indexed="10"/>
        </patternFill>
      </fill>
    </dxf>
    <dxf>
      <font>
        <b/>
        <i val="0"/>
        <u val="single"/>
      </font>
    </dxf>
    <dxf>
      <font>
        <b val="0"/>
        <i/>
      </font>
    </dxf>
    <dxf>
      <fill>
        <patternFill>
          <bgColor indexed="14"/>
        </patternFill>
      </fill>
    </dxf>
    <dxf>
      <font>
        <b/>
        <i val="0"/>
        <u val="single"/>
      </font>
    </dxf>
    <dxf>
      <font>
        <b val="0"/>
        <i/>
      </font>
    </dxf>
    <dxf>
      <fill>
        <patternFill>
          <bgColor indexed="61"/>
        </patternFill>
      </fill>
    </dxf>
    <dxf>
      <font>
        <b/>
        <i val="0"/>
        <u val="single"/>
      </font>
    </dxf>
    <dxf>
      <font>
        <b val="0"/>
        <i/>
      </font>
    </dxf>
    <dxf>
      <fill>
        <patternFill>
          <bgColor indexed="13"/>
        </patternFill>
      </fill>
    </dxf>
    <dxf>
      <font>
        <b/>
        <i val="0"/>
        <u val="single"/>
      </font>
    </dxf>
    <dxf>
      <font>
        <b val="0"/>
        <i/>
      </font>
    </dxf>
    <dxf>
      <fill>
        <patternFill>
          <bgColor indexed="57"/>
        </patternFill>
      </fill>
    </dxf>
    <dxf>
      <font>
        <b/>
        <i val="0"/>
        <u val="single"/>
      </font>
    </dxf>
    <dxf>
      <font>
        <b val="0"/>
        <i/>
      </font>
    </dxf>
    <dxf>
      <fill>
        <patternFill>
          <bgColor indexed="24"/>
        </patternFill>
      </fill>
    </dxf>
    <dxf>
      <font>
        <b/>
        <i val="0"/>
        <color indexed="17"/>
      </font>
    </dxf>
    <dxf>
      <font>
        <b/>
        <i val="0"/>
        <color indexed="33"/>
      </font>
      <fill>
        <patternFill>
          <bgColor indexed="9"/>
        </patternFill>
      </fill>
    </dxf>
    <dxf>
      <font>
        <b val="0"/>
        <i/>
      </font>
    </dxf>
    <dxf>
      <fill>
        <patternFill>
          <bgColor indexed="61"/>
        </patternFill>
      </fill>
    </dxf>
    <dxf>
      <fill>
        <patternFill>
          <bgColor indexed="61"/>
        </patternFill>
      </fill>
    </dxf>
    <dxf>
      <fill>
        <patternFill>
          <bgColor indexed="13"/>
        </patternFill>
      </fill>
    </dxf>
    <dxf>
      <fill>
        <patternFill>
          <bgColor indexed="13"/>
        </patternFill>
      </fill>
    </dxf>
    <dxf>
      <fill>
        <patternFill>
          <bgColor indexed="57"/>
        </patternFill>
      </fill>
    </dxf>
    <dxf>
      <fill>
        <patternFill>
          <bgColor indexed="57"/>
        </patternFill>
      </fill>
    </dxf>
    <dxf>
      <fill>
        <patternFill>
          <bgColor indexed="24"/>
        </patternFill>
      </fill>
    </dxf>
    <dxf>
      <fill>
        <patternFill>
          <bgColor indexed="24"/>
        </patternFill>
      </fill>
    </dxf>
    <dxf>
      <fill>
        <patternFill>
          <bgColor indexed="14"/>
        </patternFill>
      </fill>
    </dxf>
    <dxf>
      <fill>
        <patternFill>
          <bgColor indexed="14"/>
        </patternFill>
      </fill>
    </dxf>
    <dxf>
      <fill>
        <patternFill>
          <bgColor indexed="53"/>
        </patternFill>
      </fill>
    </dxf>
    <dxf>
      <fill>
        <patternFill>
          <bgColor indexed="24"/>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53"/>
        </patternFill>
      </fill>
    </dxf>
    <dxf>
      <fill>
        <patternFill>
          <bgColor indexed="53"/>
        </patternFill>
      </fill>
    </dxf>
    <dxf>
      <font>
        <b/>
        <i val="0"/>
        <color indexed="17"/>
      </font>
    </dxf>
    <dxf>
      <font>
        <b/>
        <i val="0"/>
        <color indexed="33"/>
      </font>
      <fill>
        <patternFill>
          <bgColor indexed="9"/>
        </patternFill>
      </fill>
    </dxf>
    <dxf>
      <font>
        <b val="0"/>
        <i/>
      </font>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ont>
        <b val="0"/>
        <i/>
      </font>
    </dxf>
    <dxf>
      <font>
        <b/>
        <i val="0"/>
        <u val="single"/>
      </font>
    </dxf>
    <dxf>
      <font>
        <b val="0"/>
        <i/>
      </font>
    </dxf>
    <dxf>
      <fill>
        <patternFill>
          <bgColor indexed="53"/>
        </patternFill>
      </fill>
    </dxf>
    <dxf>
      <font>
        <b/>
        <i val="0"/>
        <u val="single"/>
      </font>
    </dxf>
    <dxf>
      <font>
        <b val="0"/>
        <i/>
      </font>
    </dxf>
    <dxf>
      <fill>
        <patternFill>
          <bgColor indexed="10"/>
        </patternFill>
      </fill>
    </dxf>
    <dxf>
      <font>
        <b/>
        <i val="0"/>
        <u val="single"/>
      </font>
    </dxf>
    <dxf>
      <font>
        <b val="0"/>
        <i/>
      </font>
    </dxf>
    <dxf>
      <fill>
        <patternFill>
          <bgColor indexed="14"/>
        </patternFill>
      </fill>
    </dxf>
    <dxf>
      <font>
        <b/>
        <i val="0"/>
        <u val="single"/>
      </font>
    </dxf>
    <dxf>
      <font>
        <b val="0"/>
        <i/>
      </font>
    </dxf>
    <dxf>
      <fill>
        <patternFill>
          <bgColor indexed="61"/>
        </patternFill>
      </fill>
    </dxf>
    <dxf>
      <font>
        <b/>
        <i val="0"/>
        <u val="single"/>
      </font>
    </dxf>
    <dxf>
      <font>
        <b val="0"/>
        <i/>
      </font>
    </dxf>
    <dxf>
      <fill>
        <patternFill>
          <bgColor indexed="13"/>
        </patternFill>
      </fill>
    </dxf>
    <dxf>
      <font>
        <b/>
        <i val="0"/>
        <u val="single"/>
      </font>
    </dxf>
    <dxf>
      <font>
        <b val="0"/>
        <i/>
      </font>
    </dxf>
    <dxf>
      <fill>
        <patternFill>
          <bgColor indexed="57"/>
        </patternFill>
      </fill>
    </dxf>
    <dxf>
      <font>
        <b/>
        <i val="0"/>
        <u val="single"/>
      </font>
    </dxf>
    <dxf>
      <font>
        <b val="0"/>
        <i/>
      </font>
    </dxf>
    <dxf>
      <fill>
        <patternFill>
          <bgColor indexed="24"/>
        </patternFill>
      </fill>
    </dxf>
    <dxf>
      <fill>
        <patternFill>
          <bgColor indexed="61"/>
        </patternFill>
      </fill>
    </dxf>
    <dxf>
      <fill>
        <patternFill>
          <bgColor indexed="61"/>
        </patternFill>
      </fill>
    </dxf>
    <dxf>
      <fill>
        <patternFill>
          <bgColor indexed="13"/>
        </patternFill>
      </fill>
    </dxf>
    <dxf>
      <fill>
        <patternFill>
          <bgColor indexed="13"/>
        </patternFill>
      </fill>
    </dxf>
    <dxf>
      <fill>
        <patternFill>
          <bgColor indexed="57"/>
        </patternFill>
      </fill>
    </dxf>
    <dxf>
      <fill>
        <patternFill>
          <bgColor indexed="57"/>
        </patternFill>
      </fill>
    </dxf>
    <dxf>
      <fill>
        <patternFill>
          <bgColor indexed="24"/>
        </patternFill>
      </fill>
    </dxf>
    <dxf>
      <fill>
        <patternFill>
          <bgColor indexed="24"/>
        </patternFill>
      </fill>
    </dxf>
    <dxf>
      <fill>
        <patternFill>
          <bgColor indexed="14"/>
        </patternFill>
      </fill>
    </dxf>
    <dxf>
      <fill>
        <patternFill>
          <bgColor indexed="14"/>
        </patternFill>
      </fill>
    </dxf>
    <dxf>
      <fill>
        <patternFill>
          <bgColor indexed="53"/>
        </patternFill>
      </fill>
    </dxf>
    <dxf>
      <fill>
        <patternFill>
          <bgColor indexed="5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u val="single"/>
      </font>
    </dxf>
    <dxf>
      <font>
        <b val="0"/>
        <i/>
      </font>
    </dxf>
    <dxf>
      <fill>
        <patternFill patternType="none">
          <bgColor indexed="65"/>
        </patternFill>
      </fill>
      <border>
        <left>
          <color indexed="63"/>
        </left>
        <right>
          <color indexed="63"/>
        </right>
        <top style="thin"/>
        <bottom>
          <color indexed="63"/>
        </bottom>
      </border>
    </dxf>
    <dxf>
      <font>
        <b/>
        <i val="0"/>
        <u val="single"/>
      </font>
    </dxf>
    <dxf>
      <font>
        <b val="0"/>
        <i/>
      </font>
    </dxf>
    <dxf>
      <fill>
        <patternFill patternType="none">
          <bgColor indexed="65"/>
        </patternFill>
      </fill>
      <border>
        <left>
          <color indexed="63"/>
        </left>
        <right>
          <color indexed="63"/>
        </right>
        <top style="thin"/>
        <bottom>
          <color indexed="63"/>
        </bottom>
      </border>
    </dxf>
    <dxf>
      <font>
        <b/>
        <i val="0"/>
        <color indexed="17"/>
      </font>
    </dxf>
    <dxf>
      <font>
        <b/>
        <i val="0"/>
        <color indexed="33"/>
      </font>
      <fill>
        <patternFill>
          <bgColor indexed="9"/>
        </patternFill>
      </fill>
    </dxf>
    <dxf>
      <font>
        <b val="0"/>
        <i/>
      </font>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ill>
        <patternFill>
          <bgColor indexed="53"/>
        </patternFill>
      </fill>
    </dxf>
    <dxf>
      <fill>
        <patternFill>
          <bgColor indexed="14"/>
        </patternFill>
      </fill>
    </dxf>
    <dxf>
      <fill>
        <patternFill>
          <bgColor indexed="61"/>
        </patternFill>
      </fill>
    </dxf>
    <dxf>
      <fill>
        <patternFill>
          <bgColor indexed="13"/>
        </patternFill>
      </fill>
    </dxf>
    <dxf>
      <fill>
        <patternFill>
          <bgColor indexed="57"/>
        </patternFill>
      </fill>
    </dxf>
    <dxf>
      <fill>
        <patternFill>
          <bgColor indexed="24"/>
        </patternFill>
      </fill>
    </dxf>
    <dxf>
      <font>
        <b val="0"/>
        <i/>
      </font>
    </dxf>
    <dxf>
      <font>
        <b/>
        <i val="0"/>
        <u val="single"/>
      </font>
    </dxf>
    <dxf>
      <font>
        <b val="0"/>
        <i/>
      </font>
    </dxf>
    <dxf>
      <fill>
        <patternFill>
          <bgColor indexed="53"/>
        </patternFill>
      </fill>
    </dxf>
    <dxf>
      <font>
        <b/>
        <i val="0"/>
        <u val="single"/>
      </font>
    </dxf>
    <dxf>
      <font>
        <b val="0"/>
        <i/>
      </font>
    </dxf>
    <dxf>
      <fill>
        <patternFill>
          <bgColor indexed="10"/>
        </patternFill>
      </fill>
    </dxf>
    <dxf>
      <font>
        <b/>
        <i val="0"/>
        <u val="single"/>
      </font>
    </dxf>
    <dxf>
      <font>
        <b val="0"/>
        <i/>
      </font>
    </dxf>
    <dxf>
      <fill>
        <patternFill>
          <bgColor indexed="14"/>
        </patternFill>
      </fill>
    </dxf>
    <dxf>
      <font>
        <b/>
        <i val="0"/>
        <u val="single"/>
      </font>
    </dxf>
    <dxf>
      <font>
        <b val="0"/>
        <i/>
      </font>
    </dxf>
    <dxf>
      <fill>
        <patternFill>
          <bgColor indexed="61"/>
        </patternFill>
      </fill>
    </dxf>
    <dxf>
      <font>
        <b/>
        <i val="0"/>
        <u val="single"/>
      </font>
    </dxf>
    <dxf>
      <font>
        <b val="0"/>
        <i/>
      </font>
    </dxf>
    <dxf>
      <fill>
        <patternFill>
          <bgColor indexed="13"/>
        </patternFill>
      </fill>
    </dxf>
    <dxf>
      <font>
        <b/>
        <i val="0"/>
        <u val="single"/>
      </font>
    </dxf>
    <dxf>
      <font>
        <b val="0"/>
        <i/>
      </font>
    </dxf>
    <dxf>
      <fill>
        <patternFill>
          <bgColor indexed="57"/>
        </patternFill>
      </fill>
    </dxf>
    <dxf>
      <font>
        <b/>
        <i val="0"/>
        <u val="single"/>
      </font>
    </dxf>
    <dxf>
      <font>
        <b val="0"/>
        <i/>
      </font>
    </dxf>
    <dxf>
      <fill>
        <patternFill>
          <bgColor indexed="24"/>
        </patternFill>
      </fill>
    </dxf>
    <dxf>
      <fill>
        <patternFill>
          <bgColor indexed="61"/>
        </patternFill>
      </fill>
    </dxf>
    <dxf>
      <fill>
        <patternFill>
          <bgColor indexed="61"/>
        </patternFill>
      </fill>
    </dxf>
    <dxf>
      <fill>
        <patternFill>
          <bgColor indexed="13"/>
        </patternFill>
      </fill>
    </dxf>
    <dxf>
      <fill>
        <patternFill>
          <bgColor indexed="13"/>
        </patternFill>
      </fill>
    </dxf>
    <dxf>
      <fill>
        <patternFill>
          <bgColor indexed="57"/>
        </patternFill>
      </fill>
    </dxf>
    <dxf>
      <fill>
        <patternFill>
          <bgColor indexed="57"/>
        </patternFill>
      </fill>
    </dxf>
    <dxf>
      <fill>
        <patternFill>
          <bgColor indexed="24"/>
        </patternFill>
      </fill>
    </dxf>
    <dxf>
      <fill>
        <patternFill>
          <bgColor indexed="24"/>
        </patternFill>
      </fill>
    </dxf>
    <dxf>
      <fill>
        <patternFill>
          <bgColor indexed="14"/>
        </patternFill>
      </fill>
    </dxf>
    <dxf>
      <fill>
        <patternFill>
          <bgColor indexed="14"/>
        </patternFill>
      </fill>
    </dxf>
    <dxf>
      <fill>
        <patternFill>
          <bgColor indexed="53"/>
        </patternFill>
      </fill>
    </dxf>
    <dxf>
      <fill>
        <patternFill>
          <bgColor indexed="53"/>
        </patternFill>
      </fill>
    </dxf>
    <dxf>
      <font>
        <b val="0"/>
        <i/>
      </font>
      <border/>
    </dxf>
    <dxf>
      <font>
        <b/>
        <i val="0"/>
        <u val="single"/>
      </font>
      <border/>
    </dxf>
    <dxf>
      <font>
        <b/>
        <i val="0"/>
        <color rgb="FFFF00FF"/>
      </font>
      <fill>
        <patternFill>
          <bgColor rgb="FFFFFFFF"/>
        </patternFill>
      </fill>
      <border/>
    </dxf>
    <dxf>
      <font>
        <b/>
        <i val="0"/>
        <color rgb="FF008000"/>
      </font>
      <border/>
    </dxf>
    <dxf>
      <fill>
        <patternFill patternType="none">
          <bgColor indexed="65"/>
        </patternFill>
      </fill>
      <border>
        <left>
          <color rgb="FF000000"/>
        </left>
        <right>
          <color rgb="FF000000"/>
        </right>
        <top style="thin">
          <color rgb="FF000000"/>
        </top>
        <bottom>
          <color rgb="FF000000"/>
        </bottom>
      </border>
    </dxf>
    <dxf>
      <font>
        <color theme="0"/>
      </font>
      <border/>
    </dxf>
    <dxf>
      <border>
        <left style="thin">
          <color rgb="FF000000"/>
        </left>
        <right>
          <color rgb="FF000000"/>
        </right>
        <top>
          <color rgb="FF000000"/>
        </top>
        <bottom>
          <color rgb="FF000000"/>
        </bottom>
      </border>
    </dxf>
    <dxf>
      <font>
        <b val="0"/>
        <i/>
      </font>
      <border>
        <left>
          <color rgb="FF000000"/>
        </left>
        <right>
          <color rgb="FF000000"/>
        </right>
        <top>
          <color rgb="FF000000"/>
        </top>
        <bottom>
          <color rgb="FF000000"/>
        </bottom>
      </border>
    </dxf>
    <dxf>
      <font>
        <b val="0"/>
        <i/>
      </font>
      <border>
        <left style="thin">
          <color rgb="FF000000"/>
        </left>
        <right style="thin">
          <color rgb="FF000000"/>
        </right>
        <top style="thin"/>
        <bottom style="thin">
          <color rgb="FF000000"/>
        </bottom>
      </border>
    </dxf>
    <dxf>
      <font>
        <b val="0"/>
        <i/>
      </font>
      <border>
        <left>
          <color rgb="FF000000"/>
        </left>
        <right>
          <color rgb="FF000000"/>
        </right>
        <top style="thin">
          <color rgb="FF000000"/>
        </top>
        <bottom>
          <color rgb="FF000000"/>
        </bottom>
      </border>
    </dxf>
    <dxf>
      <font>
        <b/>
        <i val="0"/>
        <u val="single"/>
      </font>
      <fill>
        <patternFill>
          <bgColor rgb="FF9999FF"/>
        </patternFill>
      </fill>
      <border/>
    </dxf>
    <dxf>
      <font>
        <b/>
        <i val="0"/>
        <u val="single"/>
      </font>
      <fill>
        <patternFill>
          <bgColor rgb="FFFF0000"/>
        </patternFill>
      </fill>
      <border/>
    </dxf>
    <dxf>
      <font>
        <b/>
        <i val="0"/>
        <u val="single"/>
      </font>
      <fill>
        <patternFill>
          <bgColor rgb="FF339966"/>
        </patternFill>
      </fill>
      <border/>
    </dxf>
    <dxf>
      <font>
        <b/>
        <i val="0"/>
        <u val="single"/>
      </font>
      <fill>
        <patternFill>
          <bgColor rgb="FFFFFF00"/>
        </patternFill>
      </fill>
      <border/>
    </dxf>
    <dxf>
      <font>
        <b/>
        <i val="0"/>
        <u val="single"/>
      </font>
      <fill>
        <patternFill>
          <bgColor rgb="FF993366"/>
        </patternFill>
      </fill>
      <border/>
    </dxf>
    <dxf>
      <font>
        <b/>
        <i val="0"/>
        <u val="single"/>
      </font>
      <fill>
        <patternFill>
          <bgColor rgb="FFFF00FF"/>
        </patternFill>
      </fill>
      <border/>
    </dxf>
    <dxf>
      <font>
        <b/>
        <i val="0"/>
        <u val="single"/>
      </font>
      <fill>
        <patternFill>
          <bgColor rgb="FFFF6600"/>
        </patternFill>
      </fill>
      <border/>
    </dxf>
    <dxf>
      <font>
        <b/>
        <i val="0"/>
      </font>
      <border/>
    </dxf>
    <dxf>
      <font>
        <b/>
        <i val="0"/>
        <color theme="8" tint="-0.24993999302387238"/>
      </font>
      <border/>
    </dxf>
    <dxf>
      <font>
        <b/>
        <i val="0"/>
        <color rgb="FF0070C0"/>
      </font>
      <border/>
    </dxf>
    <dxf>
      <font>
        <b/>
        <i/>
        <color theme="4"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123825</xdr:rowOff>
    </xdr:from>
    <xdr:to>
      <xdr:col>20</xdr:col>
      <xdr:colOff>28575</xdr:colOff>
      <xdr:row>3</xdr:row>
      <xdr:rowOff>0</xdr:rowOff>
    </xdr:to>
    <xdr:sp>
      <xdr:nvSpPr>
        <xdr:cNvPr id="1" name="AutoShape 1"/>
        <xdr:cNvSpPr>
          <a:spLocks/>
        </xdr:cNvSpPr>
      </xdr:nvSpPr>
      <xdr:spPr>
        <a:xfrm>
          <a:off x="1304925" y="123825"/>
          <a:ext cx="5314950" cy="647700"/>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8</xdr:row>
      <xdr:rowOff>114300</xdr:rowOff>
    </xdr:from>
    <xdr:ext cx="104775" cy="228600"/>
    <xdr:sp fLocksText="0">
      <xdr:nvSpPr>
        <xdr:cNvPr id="2" name="Text Box 4"/>
        <xdr:cNvSpPr txBox="1">
          <a:spLocks noChangeArrowheads="1"/>
        </xdr:cNvSpPr>
      </xdr:nvSpPr>
      <xdr:spPr>
        <a:xfrm>
          <a:off x="5524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8</xdr:row>
      <xdr:rowOff>114300</xdr:rowOff>
    </xdr:from>
    <xdr:ext cx="104775" cy="228600"/>
    <xdr:sp fLocksText="0">
      <xdr:nvSpPr>
        <xdr:cNvPr id="3" name="Text Box 5"/>
        <xdr:cNvSpPr txBox="1">
          <a:spLocks noChangeArrowheads="1"/>
        </xdr:cNvSpPr>
      </xdr:nvSpPr>
      <xdr:spPr>
        <a:xfrm>
          <a:off x="5524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8</xdr:row>
      <xdr:rowOff>114300</xdr:rowOff>
    </xdr:from>
    <xdr:ext cx="104775" cy="228600"/>
    <xdr:sp fLocksText="0">
      <xdr:nvSpPr>
        <xdr:cNvPr id="4" name="Text Box 6"/>
        <xdr:cNvSpPr txBox="1">
          <a:spLocks noChangeArrowheads="1"/>
        </xdr:cNvSpPr>
      </xdr:nvSpPr>
      <xdr:spPr>
        <a:xfrm>
          <a:off x="5524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8</xdr:row>
      <xdr:rowOff>114300</xdr:rowOff>
    </xdr:from>
    <xdr:ext cx="104775" cy="228600"/>
    <xdr:sp fLocksText="0">
      <xdr:nvSpPr>
        <xdr:cNvPr id="5" name="Text Box 7"/>
        <xdr:cNvSpPr txBox="1">
          <a:spLocks noChangeArrowheads="1"/>
        </xdr:cNvSpPr>
      </xdr:nvSpPr>
      <xdr:spPr>
        <a:xfrm>
          <a:off x="5524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6" name="Text Box 8"/>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 name="Text Box 9"/>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8" name="Text Box 10"/>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 name="Text Box 11"/>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0" name="Text Box 12"/>
        <xdr:cNvSpPr txBox="1">
          <a:spLocks noChangeArrowheads="1"/>
        </xdr:cNvSpPr>
      </xdr:nvSpPr>
      <xdr:spPr>
        <a:xfrm>
          <a:off x="9048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1" name="Text Box 13"/>
        <xdr:cNvSpPr txBox="1">
          <a:spLocks noChangeArrowheads="1"/>
        </xdr:cNvSpPr>
      </xdr:nvSpPr>
      <xdr:spPr>
        <a:xfrm>
          <a:off x="9048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2" name="Text Box 14"/>
        <xdr:cNvSpPr txBox="1">
          <a:spLocks noChangeArrowheads="1"/>
        </xdr:cNvSpPr>
      </xdr:nvSpPr>
      <xdr:spPr>
        <a:xfrm>
          <a:off x="9048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3" name="Text Box 15"/>
        <xdr:cNvSpPr txBox="1">
          <a:spLocks noChangeArrowheads="1"/>
        </xdr:cNvSpPr>
      </xdr:nvSpPr>
      <xdr:spPr>
        <a:xfrm>
          <a:off x="9048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4" name="Text Box 16"/>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5" name="Text Box 17"/>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6" name="Text Box 18"/>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7" name="Text Box 19"/>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18" name="Text Box 20"/>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19" name="Text Box 21"/>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20" name="Text Box 22"/>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21" name="Text Box 23"/>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2" name="Text Box 24"/>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3" name="Text Box 25"/>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4" name="Text Box 26"/>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5" name="Text Box 27"/>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6" name="Text Box 28"/>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7" name="Text Box 29"/>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8" name="Text Box 30"/>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9" name="Text Box 31"/>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0" name="Text Box 32"/>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1" name="Text Box 33"/>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2" name="Text Box 34"/>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3" name="Text Box 35"/>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4" name="Text Box 36"/>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5" name="Text Box 37"/>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6" name="Text Box 38"/>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7" name="Text Box 39"/>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8" name="Text Box 40"/>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9" name="Text Box 41"/>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40" name="Text Box 42"/>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41" name="Text Box 43"/>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2" name="Text Box 44"/>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3" name="Text Box 45"/>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4" name="Text Box 46"/>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5" name="Text Box 47"/>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6" name="Text Box 48"/>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7" name="Text Box 49"/>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8" name="Text Box 50"/>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9" name="Text Box 51"/>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0" name="Text Box 52"/>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1" name="Text Box 53"/>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2" name="Text Box 54"/>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3" name="Text Box 55"/>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54" name="Text Box 56"/>
        <xdr:cNvSpPr txBox="1">
          <a:spLocks noChangeArrowheads="1"/>
        </xdr:cNvSpPr>
      </xdr:nvSpPr>
      <xdr:spPr>
        <a:xfrm>
          <a:off x="9048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55" name="Text Box 57"/>
        <xdr:cNvSpPr txBox="1">
          <a:spLocks noChangeArrowheads="1"/>
        </xdr:cNvSpPr>
      </xdr:nvSpPr>
      <xdr:spPr>
        <a:xfrm>
          <a:off x="9048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56" name="Text Box 58"/>
        <xdr:cNvSpPr txBox="1">
          <a:spLocks noChangeArrowheads="1"/>
        </xdr:cNvSpPr>
      </xdr:nvSpPr>
      <xdr:spPr>
        <a:xfrm>
          <a:off x="9048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57" name="Text Box 59"/>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58" name="Text Box 60"/>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59" name="Text Box 61"/>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60" name="Text Box 62"/>
        <xdr:cNvSpPr txBox="1">
          <a:spLocks noChangeArrowheads="1"/>
        </xdr:cNvSpPr>
      </xdr:nvSpPr>
      <xdr:spPr>
        <a:xfrm>
          <a:off x="12573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1" name="Text Box 63"/>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2" name="Text Box 64"/>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3" name="Text Box 65"/>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4" name="Text Box 66"/>
        <xdr:cNvSpPr txBox="1">
          <a:spLocks noChangeArrowheads="1"/>
        </xdr:cNvSpPr>
      </xdr:nvSpPr>
      <xdr:spPr>
        <a:xfrm>
          <a:off x="16097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5" name="Text Box 67"/>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6" name="Text Box 68"/>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7" name="Text Box 69"/>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8" name="Text Box 70"/>
        <xdr:cNvSpPr txBox="1">
          <a:spLocks noChangeArrowheads="1"/>
        </xdr:cNvSpPr>
      </xdr:nvSpPr>
      <xdr:spPr>
        <a:xfrm>
          <a:off x="19621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69" name="Text Box 71"/>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70" name="Text Box 72"/>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71" name="Text Box 73"/>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72" name="Text Box 74"/>
        <xdr:cNvSpPr txBox="1">
          <a:spLocks noChangeArrowheads="1"/>
        </xdr:cNvSpPr>
      </xdr:nvSpPr>
      <xdr:spPr>
        <a:xfrm>
          <a:off x="23145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3" name="Text Box 75"/>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4" name="Text Box 76"/>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5" name="Text Box 77"/>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6" name="Text Box 78"/>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77" name="Text Box 79"/>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78" name="Text Box 80"/>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79" name="Text Box 81"/>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0" name="Text Box 82"/>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1" name="Text Box 83"/>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2" name="Text Box 84"/>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3" name="Text Box 85"/>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4" name="Text Box 86"/>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5" name="Text Box 87"/>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6" name="Text Box 88"/>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7" name="Text Box 89"/>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8" name="Text Box 90"/>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89" name="Text Box 91"/>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90" name="Text Box 92"/>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91" name="Text Box 93"/>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92" name="Text Box 94"/>
        <xdr:cNvSpPr txBox="1">
          <a:spLocks noChangeArrowheads="1"/>
        </xdr:cNvSpPr>
      </xdr:nvSpPr>
      <xdr:spPr>
        <a:xfrm>
          <a:off x="19621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3" name="Text Box 95"/>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4" name="Text Box 96"/>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5" name="Text Box 97"/>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6" name="Text Box 98"/>
        <xdr:cNvSpPr txBox="1">
          <a:spLocks noChangeArrowheads="1"/>
        </xdr:cNvSpPr>
      </xdr:nvSpPr>
      <xdr:spPr>
        <a:xfrm>
          <a:off x="23145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7" name="Text Box 99"/>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8" name="Text Box 100"/>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9" name="Text Box 101"/>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0" name="Text Box 102"/>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1" name="Text Box 103"/>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2" name="Text Box 104"/>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3" name="Text Box 105"/>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4" name="Text Box 106"/>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5" name="Text Box 107"/>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6" name="Text Box 108"/>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7" name="Text Box 109"/>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8" name="Text Box 110"/>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9" name="Text Box 111"/>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0" name="Text Box 112"/>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1" name="Text Box 113"/>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2" name="Text Box 114"/>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3" name="Text Box 115"/>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4" name="Text Box 116"/>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5" name="Text Box 117"/>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6" name="Text Box 118"/>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7" name="Text Box 119"/>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8" name="Text Box 120"/>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9" name="Text Box 121"/>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0" name="Text Box 122"/>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1" name="Text Box 123"/>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2" name="Text Box 124"/>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3" name="Text Box 125"/>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4" name="Text Box 126"/>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5" name="Text Box 127"/>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6" name="Text Box 128"/>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7" name="Text Box 129"/>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8" name="Text Box 130"/>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9" name="Text Box 131"/>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0" name="Text Box 132"/>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1" name="Text Box 133"/>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2" name="Text Box 134"/>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3" name="Text Box 135"/>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4" name="Text Box 136"/>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5" name="Text Box 137"/>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6" name="Text Box 138"/>
        <xdr:cNvSpPr txBox="1">
          <a:spLocks noChangeArrowheads="1"/>
        </xdr:cNvSpPr>
      </xdr:nvSpPr>
      <xdr:spPr>
        <a:xfrm>
          <a:off x="16097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7" name="Text Box 139"/>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8" name="Text Box 140"/>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9" name="Text Box 141"/>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0" name="Text Box 142"/>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1" name="Text Box 143"/>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2" name="Text Box 144"/>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3" name="Text Box 145"/>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4" name="Text Box 146"/>
        <xdr:cNvSpPr txBox="1">
          <a:spLocks noChangeArrowheads="1"/>
        </xdr:cNvSpPr>
      </xdr:nvSpPr>
      <xdr:spPr>
        <a:xfrm>
          <a:off x="90487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5" name="Text Box 147"/>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6" name="Text Box 148"/>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7" name="Text Box 149"/>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8" name="Text Box 150"/>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9" name="Text Box 151"/>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0" name="Text Box 152"/>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1" name="Text Box 153"/>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2" name="Text Box 154"/>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3" name="Text Box 155"/>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4" name="Text Box 156"/>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5" name="Text Box 157"/>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6" name="Text Box 158"/>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7" name="Text Box 159"/>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8" name="Text Box 160"/>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9" name="Text Box 161"/>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0" name="Text Box 162"/>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1" name="Text Box 163"/>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2" name="Text Box 164"/>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3" name="Text Box 165"/>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4" name="Text Box 166"/>
        <xdr:cNvSpPr txBox="1">
          <a:spLocks noChangeArrowheads="1"/>
        </xdr:cNvSpPr>
      </xdr:nvSpPr>
      <xdr:spPr>
        <a:xfrm>
          <a:off x="5524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123825</xdr:rowOff>
    </xdr:from>
    <xdr:to>
      <xdr:col>20</xdr:col>
      <xdr:colOff>28575</xdr:colOff>
      <xdr:row>3</xdr:row>
      <xdr:rowOff>0</xdr:rowOff>
    </xdr:to>
    <xdr:sp>
      <xdr:nvSpPr>
        <xdr:cNvPr id="1" name="AutoShape 1"/>
        <xdr:cNvSpPr>
          <a:spLocks/>
        </xdr:cNvSpPr>
      </xdr:nvSpPr>
      <xdr:spPr>
        <a:xfrm>
          <a:off x="1181100" y="123825"/>
          <a:ext cx="5162550" cy="647700"/>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8</xdr:row>
      <xdr:rowOff>114300</xdr:rowOff>
    </xdr:from>
    <xdr:ext cx="104775" cy="228600"/>
    <xdr:sp fLocksText="0">
      <xdr:nvSpPr>
        <xdr:cNvPr id="2" name="Text Box 3"/>
        <xdr:cNvSpPr txBox="1">
          <a:spLocks noChangeArrowheads="1"/>
        </xdr:cNvSpPr>
      </xdr:nvSpPr>
      <xdr:spPr>
        <a:xfrm>
          <a:off x="4286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8</xdr:row>
      <xdr:rowOff>114300</xdr:rowOff>
    </xdr:from>
    <xdr:ext cx="104775" cy="228600"/>
    <xdr:sp fLocksText="0">
      <xdr:nvSpPr>
        <xdr:cNvPr id="3" name="Text Box 4"/>
        <xdr:cNvSpPr txBox="1">
          <a:spLocks noChangeArrowheads="1"/>
        </xdr:cNvSpPr>
      </xdr:nvSpPr>
      <xdr:spPr>
        <a:xfrm>
          <a:off x="4286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8</xdr:row>
      <xdr:rowOff>114300</xdr:rowOff>
    </xdr:from>
    <xdr:ext cx="104775" cy="228600"/>
    <xdr:sp fLocksText="0">
      <xdr:nvSpPr>
        <xdr:cNvPr id="4" name="Text Box 5"/>
        <xdr:cNvSpPr txBox="1">
          <a:spLocks noChangeArrowheads="1"/>
        </xdr:cNvSpPr>
      </xdr:nvSpPr>
      <xdr:spPr>
        <a:xfrm>
          <a:off x="4286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8</xdr:row>
      <xdr:rowOff>114300</xdr:rowOff>
    </xdr:from>
    <xdr:ext cx="104775" cy="228600"/>
    <xdr:sp fLocksText="0">
      <xdr:nvSpPr>
        <xdr:cNvPr id="5" name="Text Box 6"/>
        <xdr:cNvSpPr txBox="1">
          <a:spLocks noChangeArrowheads="1"/>
        </xdr:cNvSpPr>
      </xdr:nvSpPr>
      <xdr:spPr>
        <a:xfrm>
          <a:off x="4286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6" name="Text Box 7"/>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 name="Text Box 8"/>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8" name="Text Box 9"/>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 name="Text Box 10"/>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0" name="Text Box 11"/>
        <xdr:cNvSpPr txBox="1">
          <a:spLocks noChangeArrowheads="1"/>
        </xdr:cNvSpPr>
      </xdr:nvSpPr>
      <xdr:spPr>
        <a:xfrm>
          <a:off x="7810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1" name="Text Box 12"/>
        <xdr:cNvSpPr txBox="1">
          <a:spLocks noChangeArrowheads="1"/>
        </xdr:cNvSpPr>
      </xdr:nvSpPr>
      <xdr:spPr>
        <a:xfrm>
          <a:off x="7810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2" name="Text Box 13"/>
        <xdr:cNvSpPr txBox="1">
          <a:spLocks noChangeArrowheads="1"/>
        </xdr:cNvSpPr>
      </xdr:nvSpPr>
      <xdr:spPr>
        <a:xfrm>
          <a:off x="7810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13" name="Text Box 14"/>
        <xdr:cNvSpPr txBox="1">
          <a:spLocks noChangeArrowheads="1"/>
        </xdr:cNvSpPr>
      </xdr:nvSpPr>
      <xdr:spPr>
        <a:xfrm>
          <a:off x="7810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4" name="Text Box 15"/>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5" name="Text Box 16"/>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6" name="Text Box 17"/>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17" name="Text Box 18"/>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18" name="Text Box 19"/>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19" name="Text Box 20"/>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20" name="Text Box 21"/>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21" name="Text Box 22"/>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2" name="Text Box 23"/>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3" name="Text Box 24"/>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4" name="Text Box 25"/>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25" name="Text Box 26"/>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6" name="Text Box 27"/>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7" name="Text Box 28"/>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8" name="Text Box 29"/>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29" name="Text Box 30"/>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0" name="Text Box 31"/>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1" name="Text Box 32"/>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2" name="Text Box 33"/>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33" name="Text Box 34"/>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4" name="Text Box 35"/>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5" name="Text Box 36"/>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6" name="Text Box 37"/>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7" name="Text Box 38"/>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8" name="Text Box 39"/>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39" name="Text Box 40"/>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40" name="Text Box 41"/>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41" name="Text Box 42"/>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2" name="Text Box 43"/>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3" name="Text Box 44"/>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4" name="Text Box 45"/>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45" name="Text Box 46"/>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6" name="Text Box 47"/>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7" name="Text Box 48"/>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8" name="Text Box 49"/>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49" name="Text Box 50"/>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0" name="Text Box 51"/>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1" name="Text Box 52"/>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2" name="Text Box 53"/>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53" name="Text Box 54"/>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54" name="Text Box 55"/>
        <xdr:cNvSpPr txBox="1">
          <a:spLocks noChangeArrowheads="1"/>
        </xdr:cNvSpPr>
      </xdr:nvSpPr>
      <xdr:spPr>
        <a:xfrm>
          <a:off x="7810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55" name="Text Box 56"/>
        <xdr:cNvSpPr txBox="1">
          <a:spLocks noChangeArrowheads="1"/>
        </xdr:cNvSpPr>
      </xdr:nvSpPr>
      <xdr:spPr>
        <a:xfrm>
          <a:off x="7810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114300</xdr:rowOff>
    </xdr:from>
    <xdr:ext cx="104775" cy="228600"/>
    <xdr:sp fLocksText="0">
      <xdr:nvSpPr>
        <xdr:cNvPr id="56" name="Text Box 57"/>
        <xdr:cNvSpPr txBox="1">
          <a:spLocks noChangeArrowheads="1"/>
        </xdr:cNvSpPr>
      </xdr:nvSpPr>
      <xdr:spPr>
        <a:xfrm>
          <a:off x="7810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57" name="Text Box 58"/>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58" name="Text Box 59"/>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59" name="Text Box 60"/>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114300</xdr:rowOff>
    </xdr:from>
    <xdr:ext cx="104775" cy="228600"/>
    <xdr:sp fLocksText="0">
      <xdr:nvSpPr>
        <xdr:cNvPr id="60" name="Text Box 61"/>
        <xdr:cNvSpPr txBox="1">
          <a:spLocks noChangeArrowheads="1"/>
        </xdr:cNvSpPr>
      </xdr:nvSpPr>
      <xdr:spPr>
        <a:xfrm>
          <a:off x="113347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1" name="Text Box 62"/>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2" name="Text Box 63"/>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3" name="Text Box 64"/>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114300</xdr:rowOff>
    </xdr:from>
    <xdr:ext cx="104775" cy="228600"/>
    <xdr:sp fLocksText="0">
      <xdr:nvSpPr>
        <xdr:cNvPr id="64" name="Text Box 65"/>
        <xdr:cNvSpPr txBox="1">
          <a:spLocks noChangeArrowheads="1"/>
        </xdr:cNvSpPr>
      </xdr:nvSpPr>
      <xdr:spPr>
        <a:xfrm>
          <a:off x="148590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5" name="Text Box 66"/>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6" name="Text Box 67"/>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7" name="Text Box 68"/>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xdr:row>
      <xdr:rowOff>114300</xdr:rowOff>
    </xdr:from>
    <xdr:ext cx="104775" cy="228600"/>
    <xdr:sp fLocksText="0">
      <xdr:nvSpPr>
        <xdr:cNvPr id="68" name="Text Box 69"/>
        <xdr:cNvSpPr txBox="1">
          <a:spLocks noChangeArrowheads="1"/>
        </xdr:cNvSpPr>
      </xdr:nvSpPr>
      <xdr:spPr>
        <a:xfrm>
          <a:off x="1838325"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69" name="Text Box 70"/>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70" name="Text Box 71"/>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71" name="Text Box 72"/>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8</xdr:row>
      <xdr:rowOff>114300</xdr:rowOff>
    </xdr:from>
    <xdr:ext cx="104775" cy="228600"/>
    <xdr:sp fLocksText="0">
      <xdr:nvSpPr>
        <xdr:cNvPr id="72" name="Text Box 73"/>
        <xdr:cNvSpPr txBox="1">
          <a:spLocks noChangeArrowheads="1"/>
        </xdr:cNvSpPr>
      </xdr:nvSpPr>
      <xdr:spPr>
        <a:xfrm>
          <a:off x="2190750" y="2076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3" name="Text Box 74"/>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4" name="Text Box 75"/>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5" name="Text Box 76"/>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76" name="Text Box 77"/>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77" name="Text Box 78"/>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78" name="Text Box 79"/>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79" name="Text Box 80"/>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0" name="Text Box 81"/>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1" name="Text Box 82"/>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2" name="Text Box 83"/>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3" name="Text Box 84"/>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84" name="Text Box 85"/>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5" name="Text Box 86"/>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6" name="Text Box 87"/>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7" name="Text Box 88"/>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88" name="Text Box 89"/>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89" name="Text Box 90"/>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90" name="Text Box 91"/>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91" name="Text Box 92"/>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114300</xdr:rowOff>
    </xdr:from>
    <xdr:ext cx="104775" cy="228600"/>
    <xdr:sp fLocksText="0">
      <xdr:nvSpPr>
        <xdr:cNvPr id="92" name="Text Box 93"/>
        <xdr:cNvSpPr txBox="1">
          <a:spLocks noChangeArrowheads="1"/>
        </xdr:cNvSpPr>
      </xdr:nvSpPr>
      <xdr:spPr>
        <a:xfrm>
          <a:off x="18383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3" name="Text Box 94"/>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4" name="Text Box 95"/>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5" name="Text Box 96"/>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11</xdr:row>
      <xdr:rowOff>114300</xdr:rowOff>
    </xdr:from>
    <xdr:ext cx="104775" cy="228600"/>
    <xdr:sp fLocksText="0">
      <xdr:nvSpPr>
        <xdr:cNvPr id="96" name="Text Box 97"/>
        <xdr:cNvSpPr txBox="1">
          <a:spLocks noChangeArrowheads="1"/>
        </xdr:cNvSpPr>
      </xdr:nvSpPr>
      <xdr:spPr>
        <a:xfrm>
          <a:off x="21907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7" name="Text Box 98"/>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8" name="Text Box 99"/>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99" name="Text Box 100"/>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0" name="Text Box 101"/>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1" name="Text Box 102"/>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2" name="Text Box 103"/>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3" name="Text Box 104"/>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04" name="Text Box 105"/>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5" name="Text Box 106"/>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6" name="Text Box 107"/>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7" name="Text Box 108"/>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8" name="Text Box 109"/>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09" name="Text Box 110"/>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0" name="Text Box 111"/>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1" name="Text Box 112"/>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2" name="Text Box 113"/>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3" name="Text Box 114"/>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4" name="Text Box 115"/>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5" name="Text Box 116"/>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6" name="Text Box 117"/>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7" name="Text Box 118"/>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8" name="Text Box 119"/>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19" name="Text Box 120"/>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0" name="Text Box 121"/>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1" name="Text Box 122"/>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2" name="Text Box 123"/>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3" name="Text Box 124"/>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24" name="Text Box 125"/>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5" name="Text Box 126"/>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6" name="Text Box 127"/>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7" name="Text Box 128"/>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8" name="Text Box 129"/>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29" name="Text Box 130"/>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0" name="Text Box 131"/>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1" name="Text Box 132"/>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2" name="Text Box 133"/>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3" name="Text Box 134"/>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4" name="Text Box 135"/>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5" name="Text Box 136"/>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11</xdr:row>
      <xdr:rowOff>114300</xdr:rowOff>
    </xdr:from>
    <xdr:ext cx="104775" cy="228600"/>
    <xdr:sp fLocksText="0">
      <xdr:nvSpPr>
        <xdr:cNvPr id="136" name="Text Box 137"/>
        <xdr:cNvSpPr txBox="1">
          <a:spLocks noChangeArrowheads="1"/>
        </xdr:cNvSpPr>
      </xdr:nvSpPr>
      <xdr:spPr>
        <a:xfrm>
          <a:off x="148590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7" name="Text Box 138"/>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8" name="Text Box 139"/>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39" name="Text Box 140"/>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0" name="Text Box 141"/>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1" name="Text Box 142"/>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2" name="Text Box 143"/>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3" name="Text Box 144"/>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04775" cy="228600"/>
    <xdr:sp fLocksText="0">
      <xdr:nvSpPr>
        <xdr:cNvPr id="144" name="Text Box 145"/>
        <xdr:cNvSpPr txBox="1">
          <a:spLocks noChangeArrowheads="1"/>
        </xdr:cNvSpPr>
      </xdr:nvSpPr>
      <xdr:spPr>
        <a:xfrm>
          <a:off x="781050"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5" name="Text Box 146"/>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6" name="Text Box 147"/>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7" name="Text Box 148"/>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8" name="Text Box 149"/>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49" name="Text Box 150"/>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0" name="Text Box 151"/>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1" name="Text Box 152"/>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2" name="Text Box 153"/>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3" name="Text Box 154"/>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4" name="Text Box 155"/>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5" name="Text Box 156"/>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6" name="Text Box 157"/>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7" name="Text Box 158"/>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8" name="Text Box 159"/>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59" name="Text Box 160"/>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0" name="Text Box 161"/>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1" name="Text Box 162"/>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2" name="Text Box 163"/>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3" name="Text Box 164"/>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11</xdr:row>
      <xdr:rowOff>114300</xdr:rowOff>
    </xdr:from>
    <xdr:ext cx="104775" cy="228600"/>
    <xdr:sp fLocksText="0">
      <xdr:nvSpPr>
        <xdr:cNvPr id="164" name="Text Box 165"/>
        <xdr:cNvSpPr txBox="1">
          <a:spLocks noChangeArrowheads="1"/>
        </xdr:cNvSpPr>
      </xdr:nvSpPr>
      <xdr:spPr>
        <a:xfrm>
          <a:off x="428625" y="31051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68</xdr:row>
      <xdr:rowOff>0</xdr:rowOff>
    </xdr:from>
    <xdr:to>
      <xdr:col>15</xdr:col>
      <xdr:colOff>38100</xdr:colOff>
      <xdr:row>127</xdr:row>
      <xdr:rowOff>38100</xdr:rowOff>
    </xdr:to>
    <xdr:sp>
      <xdr:nvSpPr>
        <xdr:cNvPr id="1" name="Rectangle 1"/>
        <xdr:cNvSpPr>
          <a:spLocks/>
        </xdr:cNvSpPr>
      </xdr:nvSpPr>
      <xdr:spPr>
        <a:xfrm>
          <a:off x="66675" y="15906750"/>
          <a:ext cx="6838950" cy="29451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xdr:row>
      <xdr:rowOff>0</xdr:rowOff>
    </xdr:from>
    <xdr:to>
      <xdr:col>17</xdr:col>
      <xdr:colOff>457200</xdr:colOff>
      <xdr:row>3</xdr:row>
      <xdr:rowOff>0</xdr:rowOff>
    </xdr:to>
    <xdr:sp>
      <xdr:nvSpPr>
        <xdr:cNvPr id="2" name="AutoShape 2"/>
        <xdr:cNvSpPr>
          <a:spLocks/>
        </xdr:cNvSpPr>
      </xdr:nvSpPr>
      <xdr:spPr>
        <a:xfrm>
          <a:off x="3181350" y="66675"/>
          <a:ext cx="4914900" cy="33337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9</xdr:row>
      <xdr:rowOff>76200</xdr:rowOff>
    </xdr:from>
    <xdr:ext cx="104775" cy="228600"/>
    <xdr:sp fLocksText="0">
      <xdr:nvSpPr>
        <xdr:cNvPr id="3" name="Text Box 4"/>
        <xdr:cNvSpPr txBox="1">
          <a:spLocks noChangeArrowheads="1"/>
        </xdr:cNvSpPr>
      </xdr:nvSpPr>
      <xdr:spPr>
        <a:xfrm>
          <a:off x="6477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xdr:row>
      <xdr:rowOff>76200</xdr:rowOff>
    </xdr:from>
    <xdr:ext cx="104775" cy="228600"/>
    <xdr:sp fLocksText="0">
      <xdr:nvSpPr>
        <xdr:cNvPr id="4" name="Text Box 5"/>
        <xdr:cNvSpPr txBox="1">
          <a:spLocks noChangeArrowheads="1"/>
        </xdr:cNvSpPr>
      </xdr:nvSpPr>
      <xdr:spPr>
        <a:xfrm>
          <a:off x="6477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xdr:row>
      <xdr:rowOff>76200</xdr:rowOff>
    </xdr:from>
    <xdr:ext cx="104775" cy="228600"/>
    <xdr:sp fLocksText="0">
      <xdr:nvSpPr>
        <xdr:cNvPr id="5" name="Text Box 6"/>
        <xdr:cNvSpPr txBox="1">
          <a:spLocks noChangeArrowheads="1"/>
        </xdr:cNvSpPr>
      </xdr:nvSpPr>
      <xdr:spPr>
        <a:xfrm>
          <a:off x="6477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xdr:row>
      <xdr:rowOff>76200</xdr:rowOff>
    </xdr:from>
    <xdr:ext cx="104775" cy="228600"/>
    <xdr:sp fLocksText="0">
      <xdr:nvSpPr>
        <xdr:cNvPr id="6" name="Text Box 7"/>
        <xdr:cNvSpPr txBox="1">
          <a:spLocks noChangeArrowheads="1"/>
        </xdr:cNvSpPr>
      </xdr:nvSpPr>
      <xdr:spPr>
        <a:xfrm>
          <a:off x="6477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7" name="Text Box 8"/>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8" name="Text Box 9"/>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9" name="Text Box 10"/>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0" name="Text Box 11"/>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104775" cy="228600"/>
    <xdr:sp fLocksText="0">
      <xdr:nvSpPr>
        <xdr:cNvPr id="11" name="Text Box 12"/>
        <xdr:cNvSpPr txBox="1">
          <a:spLocks noChangeArrowheads="1"/>
        </xdr:cNvSpPr>
      </xdr:nvSpPr>
      <xdr:spPr>
        <a:xfrm>
          <a:off x="11430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104775" cy="228600"/>
    <xdr:sp fLocksText="0">
      <xdr:nvSpPr>
        <xdr:cNvPr id="12" name="Text Box 13"/>
        <xdr:cNvSpPr txBox="1">
          <a:spLocks noChangeArrowheads="1"/>
        </xdr:cNvSpPr>
      </xdr:nvSpPr>
      <xdr:spPr>
        <a:xfrm>
          <a:off x="11430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104775" cy="228600"/>
    <xdr:sp fLocksText="0">
      <xdr:nvSpPr>
        <xdr:cNvPr id="13" name="Text Box 14"/>
        <xdr:cNvSpPr txBox="1">
          <a:spLocks noChangeArrowheads="1"/>
        </xdr:cNvSpPr>
      </xdr:nvSpPr>
      <xdr:spPr>
        <a:xfrm>
          <a:off x="11430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104775" cy="228600"/>
    <xdr:sp fLocksText="0">
      <xdr:nvSpPr>
        <xdr:cNvPr id="14" name="Text Box 15"/>
        <xdr:cNvSpPr txBox="1">
          <a:spLocks noChangeArrowheads="1"/>
        </xdr:cNvSpPr>
      </xdr:nvSpPr>
      <xdr:spPr>
        <a:xfrm>
          <a:off x="11430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15" name="Text Box 16"/>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16" name="Text Box 17"/>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17" name="Text Box 18"/>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18" name="Text Box 19"/>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19" name="Text Box 20"/>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20" name="Text Box 21"/>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21" name="Text Box 22"/>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22" name="Text Box 23"/>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23" name="Text Box 24"/>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24" name="Text Box 25"/>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25" name="Text Box 26"/>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26" name="Text Box 27"/>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27" name="Text Box 28"/>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28" name="Text Box 29"/>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29" name="Text Box 30"/>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30" name="Text Box 31"/>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31" name="Text Box 32"/>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32" name="Text Box 33"/>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33" name="Text Box 34"/>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34" name="Text Box 35"/>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35" name="Text Box 36"/>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36" name="Text Box 37"/>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37" name="Text Box 38"/>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38" name="Text Box 39"/>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39" name="Text Box 40"/>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40" name="Text Box 41"/>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41" name="Text Box 42"/>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42" name="Text Box 43"/>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43" name="Text Box 44"/>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44" name="Text Box 45"/>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45" name="Text Box 46"/>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46" name="Text Box 47"/>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47" name="Text Box 48"/>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48" name="Text Box 49"/>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49" name="Text Box 50"/>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50" name="Text Box 51"/>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51" name="Text Box 52"/>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52" name="Text Box 53"/>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53" name="Text Box 54"/>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54" name="Text Box 55"/>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104775" cy="228600"/>
    <xdr:sp fLocksText="0">
      <xdr:nvSpPr>
        <xdr:cNvPr id="55" name="Text Box 56"/>
        <xdr:cNvSpPr txBox="1">
          <a:spLocks noChangeArrowheads="1"/>
        </xdr:cNvSpPr>
      </xdr:nvSpPr>
      <xdr:spPr>
        <a:xfrm>
          <a:off x="11430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104775" cy="228600"/>
    <xdr:sp fLocksText="0">
      <xdr:nvSpPr>
        <xdr:cNvPr id="56" name="Text Box 57"/>
        <xdr:cNvSpPr txBox="1">
          <a:spLocks noChangeArrowheads="1"/>
        </xdr:cNvSpPr>
      </xdr:nvSpPr>
      <xdr:spPr>
        <a:xfrm>
          <a:off x="11430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104775" cy="228600"/>
    <xdr:sp fLocksText="0">
      <xdr:nvSpPr>
        <xdr:cNvPr id="57" name="Text Box 58"/>
        <xdr:cNvSpPr txBox="1">
          <a:spLocks noChangeArrowheads="1"/>
        </xdr:cNvSpPr>
      </xdr:nvSpPr>
      <xdr:spPr>
        <a:xfrm>
          <a:off x="11430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58" name="Text Box 59"/>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59" name="Text Box 60"/>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60" name="Text Box 61"/>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104775" cy="228600"/>
    <xdr:sp fLocksText="0">
      <xdr:nvSpPr>
        <xdr:cNvPr id="61" name="Text Box 62"/>
        <xdr:cNvSpPr txBox="1">
          <a:spLocks noChangeArrowheads="1"/>
        </xdr:cNvSpPr>
      </xdr:nvSpPr>
      <xdr:spPr>
        <a:xfrm>
          <a:off x="16383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62" name="Text Box 63"/>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63" name="Text Box 64"/>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64" name="Text Box 65"/>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9</xdr:row>
      <xdr:rowOff>76200</xdr:rowOff>
    </xdr:from>
    <xdr:ext cx="104775" cy="228600"/>
    <xdr:sp fLocksText="0">
      <xdr:nvSpPr>
        <xdr:cNvPr id="65" name="Text Box 66"/>
        <xdr:cNvSpPr txBox="1">
          <a:spLocks noChangeArrowheads="1"/>
        </xdr:cNvSpPr>
      </xdr:nvSpPr>
      <xdr:spPr>
        <a:xfrm>
          <a:off x="21336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66" name="Text Box 67"/>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67" name="Text Box 68"/>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68" name="Text Box 69"/>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9</xdr:row>
      <xdr:rowOff>76200</xdr:rowOff>
    </xdr:from>
    <xdr:ext cx="104775" cy="228600"/>
    <xdr:sp fLocksText="0">
      <xdr:nvSpPr>
        <xdr:cNvPr id="69" name="Text Box 70"/>
        <xdr:cNvSpPr txBox="1">
          <a:spLocks noChangeArrowheads="1"/>
        </xdr:cNvSpPr>
      </xdr:nvSpPr>
      <xdr:spPr>
        <a:xfrm>
          <a:off x="26289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70" name="Text Box 71"/>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71" name="Text Box 72"/>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72" name="Text Box 73"/>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9</xdr:row>
      <xdr:rowOff>76200</xdr:rowOff>
    </xdr:from>
    <xdr:ext cx="104775" cy="228600"/>
    <xdr:sp fLocksText="0">
      <xdr:nvSpPr>
        <xdr:cNvPr id="73" name="Text Box 74"/>
        <xdr:cNvSpPr txBox="1">
          <a:spLocks noChangeArrowheads="1"/>
        </xdr:cNvSpPr>
      </xdr:nvSpPr>
      <xdr:spPr>
        <a:xfrm>
          <a:off x="3124200" y="1514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74" name="Text Box 75"/>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75" name="Text Box 76"/>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76" name="Text Box 77"/>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77" name="Text Box 78"/>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78" name="Text Box 79"/>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79" name="Text Box 80"/>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80" name="Text Box 81"/>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81" name="Text Box 82"/>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82" name="Text Box 83"/>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83" name="Text Box 84"/>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84" name="Text Box 85"/>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85" name="Text Box 86"/>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86" name="Text Box 87"/>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87" name="Text Box 88"/>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88" name="Text Box 89"/>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89" name="Text Box 90"/>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90" name="Text Box 91"/>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91" name="Text Box 92"/>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92" name="Text Box 93"/>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76200</xdr:rowOff>
    </xdr:from>
    <xdr:ext cx="104775" cy="228600"/>
    <xdr:sp fLocksText="0">
      <xdr:nvSpPr>
        <xdr:cNvPr id="93" name="Text Box 94"/>
        <xdr:cNvSpPr txBox="1">
          <a:spLocks noChangeArrowheads="1"/>
        </xdr:cNvSpPr>
      </xdr:nvSpPr>
      <xdr:spPr>
        <a:xfrm>
          <a:off x="26289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94" name="Text Box 95"/>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95" name="Text Box 96"/>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96" name="Text Box 97"/>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15</xdr:row>
      <xdr:rowOff>76200</xdr:rowOff>
    </xdr:from>
    <xdr:ext cx="104775" cy="228600"/>
    <xdr:sp fLocksText="0">
      <xdr:nvSpPr>
        <xdr:cNvPr id="97" name="Text Box 98"/>
        <xdr:cNvSpPr txBox="1">
          <a:spLocks noChangeArrowheads="1"/>
        </xdr:cNvSpPr>
      </xdr:nvSpPr>
      <xdr:spPr>
        <a:xfrm>
          <a:off x="31242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98" name="Text Box 99"/>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99" name="Text Box 100"/>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00" name="Text Box 101"/>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01" name="Text Box 102"/>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02" name="Text Box 103"/>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03" name="Text Box 104"/>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04" name="Text Box 105"/>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05" name="Text Box 106"/>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06" name="Text Box 107"/>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07" name="Text Box 108"/>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08" name="Text Box 109"/>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09" name="Text Box 110"/>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0" name="Text Box 111"/>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1" name="Text Box 112"/>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2" name="Text Box 113"/>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3" name="Text Box 114"/>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4" name="Text Box 115"/>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5" name="Text Box 116"/>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6" name="Text Box 117"/>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7" name="Text Box 118"/>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8" name="Text Box 119"/>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19" name="Text Box 120"/>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20" name="Text Box 121"/>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21" name="Text Box 122"/>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22" name="Text Box 123"/>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23" name="Text Box 124"/>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24" name="Text Box 125"/>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25" name="Text Box 126"/>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26" name="Text Box 127"/>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27" name="Text Box 128"/>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28" name="Text Box 129"/>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29" name="Text Box 130"/>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30" name="Text Box 131"/>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31" name="Text Box 132"/>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32" name="Text Box 133"/>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33" name="Text Box 134"/>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34" name="Text Box 135"/>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35" name="Text Box 136"/>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36" name="Text Box 137"/>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15</xdr:row>
      <xdr:rowOff>76200</xdr:rowOff>
    </xdr:from>
    <xdr:ext cx="104775" cy="228600"/>
    <xdr:sp fLocksText="0">
      <xdr:nvSpPr>
        <xdr:cNvPr id="137" name="Text Box 138"/>
        <xdr:cNvSpPr txBox="1">
          <a:spLocks noChangeArrowheads="1"/>
        </xdr:cNvSpPr>
      </xdr:nvSpPr>
      <xdr:spPr>
        <a:xfrm>
          <a:off x="21336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38" name="Text Box 139"/>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39" name="Text Box 140"/>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40" name="Text Box 141"/>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41" name="Text Box 142"/>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42" name="Text Box 143"/>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43" name="Text Box 144"/>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44" name="Text Box 145"/>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104775" cy="228600"/>
    <xdr:sp fLocksText="0">
      <xdr:nvSpPr>
        <xdr:cNvPr id="145" name="Text Box 146"/>
        <xdr:cNvSpPr txBox="1">
          <a:spLocks noChangeArrowheads="1"/>
        </xdr:cNvSpPr>
      </xdr:nvSpPr>
      <xdr:spPr>
        <a:xfrm>
          <a:off x="11430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46" name="Text Box 147"/>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47" name="Text Box 148"/>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48" name="Text Box 149"/>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49" name="Text Box 150"/>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0" name="Text Box 151"/>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1" name="Text Box 152"/>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2" name="Text Box 153"/>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3" name="Text Box 154"/>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4" name="Text Box 155"/>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5" name="Text Box 156"/>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6" name="Text Box 157"/>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7" name="Text Box 158"/>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8" name="Text Box 159"/>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59" name="Text Box 160"/>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60" name="Text Box 161"/>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61" name="Text Box 162"/>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62" name="Text Box 163"/>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63" name="Text Box 164"/>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64" name="Text Box 165"/>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76200</xdr:rowOff>
    </xdr:from>
    <xdr:ext cx="104775" cy="228600"/>
    <xdr:sp fLocksText="0">
      <xdr:nvSpPr>
        <xdr:cNvPr id="165" name="Text Box 166"/>
        <xdr:cNvSpPr txBox="1">
          <a:spLocks noChangeArrowheads="1"/>
        </xdr:cNvSpPr>
      </xdr:nvSpPr>
      <xdr:spPr>
        <a:xfrm>
          <a:off x="647700" y="3171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66" name="Text Box 169"/>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67" name="Text Box 170"/>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68" name="Text Box 171"/>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69" name="Text Box 172"/>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70" name="Text Box 173"/>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71" name="Text Box 174"/>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72" name="Text Box 175"/>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73" name="Text Box 176"/>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74" name="Text Box 177"/>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75" name="Text Box 178"/>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76" name="Text Box 179"/>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77" name="Text Box 180"/>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78" name="Text Box 181"/>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79" name="Text Box 182"/>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80" name="Text Box 183"/>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81" name="Text Box 184"/>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182" name="Text Box 185"/>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183" name="Text Box 186"/>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184" name="Text Box 187"/>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185" name="Text Box 188"/>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186" name="Text Box 189"/>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187" name="Text Box 190"/>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188" name="Text Box 191"/>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189" name="Text Box 192"/>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190" name="Text Box 193"/>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191" name="Text Box 194"/>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192" name="Text Box 195"/>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193" name="Text Box 196"/>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94" name="Text Box 197"/>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95" name="Text Box 198"/>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96" name="Text Box 199"/>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197" name="Text Box 200"/>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98" name="Text Box 201"/>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199" name="Text Box 202"/>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00" name="Text Box 203"/>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01" name="Text Box 204"/>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02" name="Text Box 205"/>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03" name="Text Box 206"/>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04" name="Text Box 207"/>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05" name="Text Box 208"/>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06" name="Text Box 209"/>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07" name="Text Box 210"/>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08" name="Text Box 211"/>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09" name="Text Box 212"/>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210" name="Text Box 213"/>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211" name="Text Box 214"/>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212" name="Text Box 215"/>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17</xdr:row>
      <xdr:rowOff>76200</xdr:rowOff>
    </xdr:from>
    <xdr:ext cx="104775" cy="228600"/>
    <xdr:sp fLocksText="0">
      <xdr:nvSpPr>
        <xdr:cNvPr id="213" name="Text Box 216"/>
        <xdr:cNvSpPr txBox="1">
          <a:spLocks noChangeArrowheads="1"/>
        </xdr:cNvSpPr>
      </xdr:nvSpPr>
      <xdr:spPr>
        <a:xfrm>
          <a:off x="26289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214" name="Text Box 217"/>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215" name="Text Box 218"/>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216" name="Text Box 219"/>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76200</xdr:rowOff>
    </xdr:from>
    <xdr:ext cx="104775" cy="228600"/>
    <xdr:sp fLocksText="0">
      <xdr:nvSpPr>
        <xdr:cNvPr id="217" name="Text Box 220"/>
        <xdr:cNvSpPr txBox="1">
          <a:spLocks noChangeArrowheads="1"/>
        </xdr:cNvSpPr>
      </xdr:nvSpPr>
      <xdr:spPr>
        <a:xfrm>
          <a:off x="31242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18" name="Text Box 221"/>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19" name="Text Box 222"/>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20" name="Text Box 223"/>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21" name="Text Box 224"/>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22" name="Text Box 225"/>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23" name="Text Box 226"/>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24" name="Text Box 227"/>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25" name="Text Box 228"/>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26" name="Text Box 229"/>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27" name="Text Box 230"/>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28" name="Text Box 231"/>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29" name="Text Box 232"/>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0" name="Text Box 233"/>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1" name="Text Box 234"/>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2" name="Text Box 235"/>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3" name="Text Box 236"/>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4" name="Text Box 237"/>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5" name="Text Box 238"/>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6" name="Text Box 239"/>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7" name="Text Box 240"/>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8" name="Text Box 241"/>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39" name="Text Box 242"/>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40" name="Text Box 243"/>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41" name="Text Box 244"/>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42" name="Text Box 245"/>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43" name="Text Box 246"/>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44" name="Text Box 247"/>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45" name="Text Box 248"/>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46" name="Text Box 249"/>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47" name="Text Box 250"/>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48" name="Text Box 251"/>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49" name="Text Box 252"/>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50" name="Text Box 253"/>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51" name="Text Box 254"/>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52" name="Text Box 255"/>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53" name="Text Box 256"/>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54" name="Text Box 257"/>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55" name="Text Box 258"/>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56" name="Text Box 259"/>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17</xdr:row>
      <xdr:rowOff>76200</xdr:rowOff>
    </xdr:from>
    <xdr:ext cx="104775" cy="228600"/>
    <xdr:sp fLocksText="0">
      <xdr:nvSpPr>
        <xdr:cNvPr id="257" name="Text Box 260"/>
        <xdr:cNvSpPr txBox="1">
          <a:spLocks noChangeArrowheads="1"/>
        </xdr:cNvSpPr>
      </xdr:nvSpPr>
      <xdr:spPr>
        <a:xfrm>
          <a:off x="21336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58" name="Text Box 261"/>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59" name="Text Box 262"/>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60" name="Text Box 263"/>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61" name="Text Box 264"/>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62" name="Text Box 265"/>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63" name="Text Box 266"/>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64" name="Text Box 267"/>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104775" cy="228600"/>
    <xdr:sp fLocksText="0">
      <xdr:nvSpPr>
        <xdr:cNvPr id="265" name="Text Box 268"/>
        <xdr:cNvSpPr txBox="1">
          <a:spLocks noChangeArrowheads="1"/>
        </xdr:cNvSpPr>
      </xdr:nvSpPr>
      <xdr:spPr>
        <a:xfrm>
          <a:off x="11430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66" name="Text Box 269"/>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67" name="Text Box 270"/>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68" name="Text Box 271"/>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69" name="Text Box 272"/>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0" name="Text Box 273"/>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1" name="Text Box 274"/>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2" name="Text Box 275"/>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3" name="Text Box 276"/>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4" name="Text Box 277"/>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5" name="Text Box 278"/>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6" name="Text Box 279"/>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7" name="Text Box 280"/>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8" name="Text Box 281"/>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79" name="Text Box 282"/>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80" name="Text Box 283"/>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81" name="Text Box 284"/>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82" name="Text Box 285"/>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83" name="Text Box 286"/>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84" name="Text Box 287"/>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76200</xdr:rowOff>
    </xdr:from>
    <xdr:ext cx="104775" cy="228600"/>
    <xdr:sp fLocksText="0">
      <xdr:nvSpPr>
        <xdr:cNvPr id="285" name="Text Box 288"/>
        <xdr:cNvSpPr txBox="1">
          <a:spLocks noChangeArrowheads="1"/>
        </xdr:cNvSpPr>
      </xdr:nvSpPr>
      <xdr:spPr>
        <a:xfrm>
          <a:off x="6477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76200</xdr:rowOff>
    </xdr:from>
    <xdr:ext cx="104775" cy="228600"/>
    <xdr:sp fLocksText="0">
      <xdr:nvSpPr>
        <xdr:cNvPr id="286" name="Text Box 289"/>
        <xdr:cNvSpPr txBox="1">
          <a:spLocks noChangeArrowheads="1"/>
        </xdr:cNvSpPr>
      </xdr:nvSpPr>
      <xdr:spPr>
        <a:xfrm>
          <a:off x="6477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76200</xdr:rowOff>
    </xdr:from>
    <xdr:ext cx="104775" cy="228600"/>
    <xdr:sp fLocksText="0">
      <xdr:nvSpPr>
        <xdr:cNvPr id="287" name="Text Box 290"/>
        <xdr:cNvSpPr txBox="1">
          <a:spLocks noChangeArrowheads="1"/>
        </xdr:cNvSpPr>
      </xdr:nvSpPr>
      <xdr:spPr>
        <a:xfrm>
          <a:off x="6477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76200</xdr:rowOff>
    </xdr:from>
    <xdr:ext cx="104775" cy="228600"/>
    <xdr:sp fLocksText="0">
      <xdr:nvSpPr>
        <xdr:cNvPr id="288" name="Text Box 291"/>
        <xdr:cNvSpPr txBox="1">
          <a:spLocks noChangeArrowheads="1"/>
        </xdr:cNvSpPr>
      </xdr:nvSpPr>
      <xdr:spPr>
        <a:xfrm>
          <a:off x="6477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76200</xdr:rowOff>
    </xdr:from>
    <xdr:ext cx="104775" cy="228600"/>
    <xdr:sp fLocksText="0">
      <xdr:nvSpPr>
        <xdr:cNvPr id="289" name="Text Box 292"/>
        <xdr:cNvSpPr txBox="1">
          <a:spLocks noChangeArrowheads="1"/>
        </xdr:cNvSpPr>
      </xdr:nvSpPr>
      <xdr:spPr>
        <a:xfrm>
          <a:off x="6477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104775" cy="228600"/>
    <xdr:sp fLocksText="0">
      <xdr:nvSpPr>
        <xdr:cNvPr id="290" name="Text Box 293"/>
        <xdr:cNvSpPr txBox="1">
          <a:spLocks noChangeArrowheads="1"/>
        </xdr:cNvSpPr>
      </xdr:nvSpPr>
      <xdr:spPr>
        <a:xfrm>
          <a:off x="11430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104775" cy="228600"/>
    <xdr:sp fLocksText="0">
      <xdr:nvSpPr>
        <xdr:cNvPr id="291" name="Text Box 294"/>
        <xdr:cNvSpPr txBox="1">
          <a:spLocks noChangeArrowheads="1"/>
        </xdr:cNvSpPr>
      </xdr:nvSpPr>
      <xdr:spPr>
        <a:xfrm>
          <a:off x="11430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104775" cy="228600"/>
    <xdr:sp fLocksText="0">
      <xdr:nvSpPr>
        <xdr:cNvPr id="292" name="Text Box 295"/>
        <xdr:cNvSpPr txBox="1">
          <a:spLocks noChangeArrowheads="1"/>
        </xdr:cNvSpPr>
      </xdr:nvSpPr>
      <xdr:spPr>
        <a:xfrm>
          <a:off x="11430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104775" cy="228600"/>
    <xdr:sp fLocksText="0">
      <xdr:nvSpPr>
        <xdr:cNvPr id="293" name="Text Box 296"/>
        <xdr:cNvSpPr txBox="1">
          <a:spLocks noChangeArrowheads="1"/>
        </xdr:cNvSpPr>
      </xdr:nvSpPr>
      <xdr:spPr>
        <a:xfrm>
          <a:off x="11430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294" name="Text Box 297"/>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295" name="Text Box 298"/>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296" name="Text Box 299"/>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297" name="Text Box 300"/>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298" name="Text Box 301"/>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299" name="Text Box 302"/>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300" name="Text Box 303"/>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301" name="Text Box 304"/>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02" name="Text Box 305"/>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03" name="Text Box 306"/>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04" name="Text Box 307"/>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05" name="Text Box 308"/>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06" name="Text Box 309"/>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07" name="Text Box 310"/>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08" name="Text Box 311"/>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09" name="Text Box 312"/>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104775" cy="228600"/>
    <xdr:sp fLocksText="0">
      <xdr:nvSpPr>
        <xdr:cNvPr id="310" name="Text Box 313"/>
        <xdr:cNvSpPr txBox="1">
          <a:spLocks noChangeArrowheads="1"/>
        </xdr:cNvSpPr>
      </xdr:nvSpPr>
      <xdr:spPr>
        <a:xfrm>
          <a:off x="11430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104775" cy="228600"/>
    <xdr:sp fLocksText="0">
      <xdr:nvSpPr>
        <xdr:cNvPr id="311" name="Text Box 314"/>
        <xdr:cNvSpPr txBox="1">
          <a:spLocks noChangeArrowheads="1"/>
        </xdr:cNvSpPr>
      </xdr:nvSpPr>
      <xdr:spPr>
        <a:xfrm>
          <a:off x="11430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104775" cy="228600"/>
    <xdr:sp fLocksText="0">
      <xdr:nvSpPr>
        <xdr:cNvPr id="312" name="Text Box 315"/>
        <xdr:cNvSpPr txBox="1">
          <a:spLocks noChangeArrowheads="1"/>
        </xdr:cNvSpPr>
      </xdr:nvSpPr>
      <xdr:spPr>
        <a:xfrm>
          <a:off x="11430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313" name="Text Box 316"/>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314" name="Text Box 317"/>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315" name="Text Box 318"/>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104775" cy="228600"/>
    <xdr:sp fLocksText="0">
      <xdr:nvSpPr>
        <xdr:cNvPr id="316" name="Text Box 319"/>
        <xdr:cNvSpPr txBox="1">
          <a:spLocks noChangeArrowheads="1"/>
        </xdr:cNvSpPr>
      </xdr:nvSpPr>
      <xdr:spPr>
        <a:xfrm>
          <a:off x="16383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317" name="Text Box 320"/>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318" name="Text Box 321"/>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319" name="Text Box 322"/>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25</xdr:row>
      <xdr:rowOff>76200</xdr:rowOff>
    </xdr:from>
    <xdr:ext cx="104775" cy="228600"/>
    <xdr:sp fLocksText="0">
      <xdr:nvSpPr>
        <xdr:cNvPr id="320" name="Text Box 323"/>
        <xdr:cNvSpPr txBox="1">
          <a:spLocks noChangeArrowheads="1"/>
        </xdr:cNvSpPr>
      </xdr:nvSpPr>
      <xdr:spPr>
        <a:xfrm>
          <a:off x="21336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21" name="Text Box 324"/>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22" name="Text Box 325"/>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23" name="Text Box 326"/>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xdr:row>
      <xdr:rowOff>76200</xdr:rowOff>
    </xdr:from>
    <xdr:ext cx="104775" cy="228600"/>
    <xdr:sp fLocksText="0">
      <xdr:nvSpPr>
        <xdr:cNvPr id="324" name="Text Box 327"/>
        <xdr:cNvSpPr txBox="1">
          <a:spLocks noChangeArrowheads="1"/>
        </xdr:cNvSpPr>
      </xdr:nvSpPr>
      <xdr:spPr>
        <a:xfrm>
          <a:off x="26289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25" name="Text Box 328"/>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26" name="Text Box 329"/>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27" name="Text Box 330"/>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25</xdr:row>
      <xdr:rowOff>76200</xdr:rowOff>
    </xdr:from>
    <xdr:ext cx="104775" cy="228600"/>
    <xdr:sp fLocksText="0">
      <xdr:nvSpPr>
        <xdr:cNvPr id="328" name="Text Box 331"/>
        <xdr:cNvSpPr txBox="1">
          <a:spLocks noChangeArrowheads="1"/>
        </xdr:cNvSpPr>
      </xdr:nvSpPr>
      <xdr:spPr>
        <a:xfrm>
          <a:off x="3124200" y="5410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76200</xdr:rowOff>
    </xdr:from>
    <xdr:ext cx="104775" cy="228600"/>
    <xdr:sp fLocksText="0">
      <xdr:nvSpPr>
        <xdr:cNvPr id="329" name="Text Box 332"/>
        <xdr:cNvSpPr txBox="1">
          <a:spLocks noChangeArrowheads="1"/>
        </xdr:cNvSpPr>
      </xdr:nvSpPr>
      <xdr:spPr>
        <a:xfrm>
          <a:off x="6477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76200</xdr:rowOff>
    </xdr:from>
    <xdr:ext cx="104775" cy="228600"/>
    <xdr:sp fLocksText="0">
      <xdr:nvSpPr>
        <xdr:cNvPr id="330" name="Text Box 333"/>
        <xdr:cNvSpPr txBox="1">
          <a:spLocks noChangeArrowheads="1"/>
        </xdr:cNvSpPr>
      </xdr:nvSpPr>
      <xdr:spPr>
        <a:xfrm>
          <a:off x="6477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76200</xdr:rowOff>
    </xdr:from>
    <xdr:ext cx="104775" cy="228600"/>
    <xdr:sp fLocksText="0">
      <xdr:nvSpPr>
        <xdr:cNvPr id="331" name="Text Box 334"/>
        <xdr:cNvSpPr txBox="1">
          <a:spLocks noChangeArrowheads="1"/>
        </xdr:cNvSpPr>
      </xdr:nvSpPr>
      <xdr:spPr>
        <a:xfrm>
          <a:off x="6477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76200</xdr:rowOff>
    </xdr:from>
    <xdr:ext cx="104775" cy="228600"/>
    <xdr:sp fLocksText="0">
      <xdr:nvSpPr>
        <xdr:cNvPr id="332" name="Text Box 335"/>
        <xdr:cNvSpPr txBox="1">
          <a:spLocks noChangeArrowheads="1"/>
        </xdr:cNvSpPr>
      </xdr:nvSpPr>
      <xdr:spPr>
        <a:xfrm>
          <a:off x="6477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104775" cy="228600"/>
    <xdr:sp fLocksText="0">
      <xdr:nvSpPr>
        <xdr:cNvPr id="333" name="Text Box 336"/>
        <xdr:cNvSpPr txBox="1">
          <a:spLocks noChangeArrowheads="1"/>
        </xdr:cNvSpPr>
      </xdr:nvSpPr>
      <xdr:spPr>
        <a:xfrm>
          <a:off x="11430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104775" cy="228600"/>
    <xdr:sp fLocksText="0">
      <xdr:nvSpPr>
        <xdr:cNvPr id="334" name="Text Box 337"/>
        <xdr:cNvSpPr txBox="1">
          <a:spLocks noChangeArrowheads="1"/>
        </xdr:cNvSpPr>
      </xdr:nvSpPr>
      <xdr:spPr>
        <a:xfrm>
          <a:off x="11430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104775" cy="228600"/>
    <xdr:sp fLocksText="0">
      <xdr:nvSpPr>
        <xdr:cNvPr id="335" name="Text Box 338"/>
        <xdr:cNvSpPr txBox="1">
          <a:spLocks noChangeArrowheads="1"/>
        </xdr:cNvSpPr>
      </xdr:nvSpPr>
      <xdr:spPr>
        <a:xfrm>
          <a:off x="11430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104775" cy="228600"/>
    <xdr:sp fLocksText="0">
      <xdr:nvSpPr>
        <xdr:cNvPr id="336" name="Text Box 339"/>
        <xdr:cNvSpPr txBox="1">
          <a:spLocks noChangeArrowheads="1"/>
        </xdr:cNvSpPr>
      </xdr:nvSpPr>
      <xdr:spPr>
        <a:xfrm>
          <a:off x="11430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37" name="Text Box 340"/>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38" name="Text Box 341"/>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39" name="Text Box 342"/>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40" name="Text Box 343"/>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41" name="Text Box 344"/>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42" name="Text Box 345"/>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43" name="Text Box 346"/>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44" name="Text Box 347"/>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45" name="Text Box 348"/>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46" name="Text Box 349"/>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47" name="Text Box 350"/>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48" name="Text Box 351"/>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49" name="Text Box 352"/>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50" name="Text Box 353"/>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51" name="Text Box 354"/>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52" name="Text Box 355"/>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104775" cy="228600"/>
    <xdr:sp fLocksText="0">
      <xdr:nvSpPr>
        <xdr:cNvPr id="353" name="Text Box 356"/>
        <xdr:cNvSpPr txBox="1">
          <a:spLocks noChangeArrowheads="1"/>
        </xdr:cNvSpPr>
      </xdr:nvSpPr>
      <xdr:spPr>
        <a:xfrm>
          <a:off x="11430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104775" cy="228600"/>
    <xdr:sp fLocksText="0">
      <xdr:nvSpPr>
        <xdr:cNvPr id="354" name="Text Box 357"/>
        <xdr:cNvSpPr txBox="1">
          <a:spLocks noChangeArrowheads="1"/>
        </xdr:cNvSpPr>
      </xdr:nvSpPr>
      <xdr:spPr>
        <a:xfrm>
          <a:off x="11430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104775" cy="228600"/>
    <xdr:sp fLocksText="0">
      <xdr:nvSpPr>
        <xdr:cNvPr id="355" name="Text Box 358"/>
        <xdr:cNvSpPr txBox="1">
          <a:spLocks noChangeArrowheads="1"/>
        </xdr:cNvSpPr>
      </xdr:nvSpPr>
      <xdr:spPr>
        <a:xfrm>
          <a:off x="11430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56" name="Text Box 359"/>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57" name="Text Box 360"/>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58" name="Text Box 361"/>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104775" cy="228600"/>
    <xdr:sp fLocksText="0">
      <xdr:nvSpPr>
        <xdr:cNvPr id="359" name="Text Box 362"/>
        <xdr:cNvSpPr txBox="1">
          <a:spLocks noChangeArrowheads="1"/>
        </xdr:cNvSpPr>
      </xdr:nvSpPr>
      <xdr:spPr>
        <a:xfrm>
          <a:off x="16383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60" name="Text Box 363"/>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61" name="Text Box 364"/>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62" name="Text Box 365"/>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27</xdr:row>
      <xdr:rowOff>76200</xdr:rowOff>
    </xdr:from>
    <xdr:ext cx="104775" cy="228600"/>
    <xdr:sp fLocksText="0">
      <xdr:nvSpPr>
        <xdr:cNvPr id="363" name="Text Box 366"/>
        <xdr:cNvSpPr txBox="1">
          <a:spLocks noChangeArrowheads="1"/>
        </xdr:cNvSpPr>
      </xdr:nvSpPr>
      <xdr:spPr>
        <a:xfrm>
          <a:off x="21336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64" name="Text Box 367"/>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65" name="Text Box 368"/>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66" name="Text Box 369"/>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76200</xdr:rowOff>
    </xdr:from>
    <xdr:ext cx="104775" cy="228600"/>
    <xdr:sp fLocksText="0">
      <xdr:nvSpPr>
        <xdr:cNvPr id="367" name="Text Box 370"/>
        <xdr:cNvSpPr txBox="1">
          <a:spLocks noChangeArrowheads="1"/>
        </xdr:cNvSpPr>
      </xdr:nvSpPr>
      <xdr:spPr>
        <a:xfrm>
          <a:off x="26289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68" name="Text Box 371"/>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69" name="Text Box 372"/>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70" name="Text Box 373"/>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27</xdr:row>
      <xdr:rowOff>76200</xdr:rowOff>
    </xdr:from>
    <xdr:ext cx="104775" cy="228600"/>
    <xdr:sp fLocksText="0">
      <xdr:nvSpPr>
        <xdr:cNvPr id="371" name="Text Box 374"/>
        <xdr:cNvSpPr txBox="1">
          <a:spLocks noChangeArrowheads="1"/>
        </xdr:cNvSpPr>
      </xdr:nvSpPr>
      <xdr:spPr>
        <a:xfrm>
          <a:off x="3124200" y="5962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76200</xdr:rowOff>
    </xdr:from>
    <xdr:ext cx="104775" cy="228600"/>
    <xdr:sp fLocksText="0">
      <xdr:nvSpPr>
        <xdr:cNvPr id="372" name="Text Box 375"/>
        <xdr:cNvSpPr txBox="1">
          <a:spLocks noChangeArrowheads="1"/>
        </xdr:cNvSpPr>
      </xdr:nvSpPr>
      <xdr:spPr>
        <a:xfrm>
          <a:off x="6477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76200</xdr:rowOff>
    </xdr:from>
    <xdr:ext cx="104775" cy="228600"/>
    <xdr:sp fLocksText="0">
      <xdr:nvSpPr>
        <xdr:cNvPr id="373" name="Text Box 376"/>
        <xdr:cNvSpPr txBox="1">
          <a:spLocks noChangeArrowheads="1"/>
        </xdr:cNvSpPr>
      </xdr:nvSpPr>
      <xdr:spPr>
        <a:xfrm>
          <a:off x="6477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76200</xdr:rowOff>
    </xdr:from>
    <xdr:ext cx="104775" cy="228600"/>
    <xdr:sp fLocksText="0">
      <xdr:nvSpPr>
        <xdr:cNvPr id="374" name="Text Box 377"/>
        <xdr:cNvSpPr txBox="1">
          <a:spLocks noChangeArrowheads="1"/>
        </xdr:cNvSpPr>
      </xdr:nvSpPr>
      <xdr:spPr>
        <a:xfrm>
          <a:off x="6477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76200</xdr:rowOff>
    </xdr:from>
    <xdr:ext cx="104775" cy="228600"/>
    <xdr:sp fLocksText="0">
      <xdr:nvSpPr>
        <xdr:cNvPr id="375" name="Text Box 378"/>
        <xdr:cNvSpPr txBox="1">
          <a:spLocks noChangeArrowheads="1"/>
        </xdr:cNvSpPr>
      </xdr:nvSpPr>
      <xdr:spPr>
        <a:xfrm>
          <a:off x="6477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104775" cy="228600"/>
    <xdr:sp fLocksText="0">
      <xdr:nvSpPr>
        <xdr:cNvPr id="376" name="Text Box 379"/>
        <xdr:cNvSpPr txBox="1">
          <a:spLocks noChangeArrowheads="1"/>
        </xdr:cNvSpPr>
      </xdr:nvSpPr>
      <xdr:spPr>
        <a:xfrm>
          <a:off x="11430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104775" cy="228600"/>
    <xdr:sp fLocksText="0">
      <xdr:nvSpPr>
        <xdr:cNvPr id="377" name="Text Box 380"/>
        <xdr:cNvSpPr txBox="1">
          <a:spLocks noChangeArrowheads="1"/>
        </xdr:cNvSpPr>
      </xdr:nvSpPr>
      <xdr:spPr>
        <a:xfrm>
          <a:off x="11430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104775" cy="228600"/>
    <xdr:sp fLocksText="0">
      <xdr:nvSpPr>
        <xdr:cNvPr id="378" name="Text Box 381"/>
        <xdr:cNvSpPr txBox="1">
          <a:spLocks noChangeArrowheads="1"/>
        </xdr:cNvSpPr>
      </xdr:nvSpPr>
      <xdr:spPr>
        <a:xfrm>
          <a:off x="11430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104775" cy="228600"/>
    <xdr:sp fLocksText="0">
      <xdr:nvSpPr>
        <xdr:cNvPr id="379" name="Text Box 382"/>
        <xdr:cNvSpPr txBox="1">
          <a:spLocks noChangeArrowheads="1"/>
        </xdr:cNvSpPr>
      </xdr:nvSpPr>
      <xdr:spPr>
        <a:xfrm>
          <a:off x="11430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380" name="Text Box 383"/>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381" name="Text Box 384"/>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382" name="Text Box 385"/>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383" name="Text Box 386"/>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384" name="Text Box 387"/>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385" name="Text Box 388"/>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386" name="Text Box 389"/>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387" name="Text Box 390"/>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388" name="Text Box 391"/>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389" name="Text Box 392"/>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390" name="Text Box 393"/>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391" name="Text Box 394"/>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392" name="Text Box 395"/>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393" name="Text Box 396"/>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394" name="Text Box 397"/>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395" name="Text Box 398"/>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104775" cy="228600"/>
    <xdr:sp fLocksText="0">
      <xdr:nvSpPr>
        <xdr:cNvPr id="396" name="Text Box 399"/>
        <xdr:cNvSpPr txBox="1">
          <a:spLocks noChangeArrowheads="1"/>
        </xdr:cNvSpPr>
      </xdr:nvSpPr>
      <xdr:spPr>
        <a:xfrm>
          <a:off x="11430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104775" cy="228600"/>
    <xdr:sp fLocksText="0">
      <xdr:nvSpPr>
        <xdr:cNvPr id="397" name="Text Box 400"/>
        <xdr:cNvSpPr txBox="1">
          <a:spLocks noChangeArrowheads="1"/>
        </xdr:cNvSpPr>
      </xdr:nvSpPr>
      <xdr:spPr>
        <a:xfrm>
          <a:off x="11430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104775" cy="228600"/>
    <xdr:sp fLocksText="0">
      <xdr:nvSpPr>
        <xdr:cNvPr id="398" name="Text Box 401"/>
        <xdr:cNvSpPr txBox="1">
          <a:spLocks noChangeArrowheads="1"/>
        </xdr:cNvSpPr>
      </xdr:nvSpPr>
      <xdr:spPr>
        <a:xfrm>
          <a:off x="11430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399" name="Text Box 402"/>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400" name="Text Box 403"/>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401" name="Text Box 404"/>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104775" cy="228600"/>
    <xdr:sp fLocksText="0">
      <xdr:nvSpPr>
        <xdr:cNvPr id="402" name="Text Box 405"/>
        <xdr:cNvSpPr txBox="1">
          <a:spLocks noChangeArrowheads="1"/>
        </xdr:cNvSpPr>
      </xdr:nvSpPr>
      <xdr:spPr>
        <a:xfrm>
          <a:off x="16383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403" name="Text Box 406"/>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404" name="Text Box 407"/>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405" name="Text Box 408"/>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76200</xdr:rowOff>
    </xdr:from>
    <xdr:ext cx="104775" cy="228600"/>
    <xdr:sp fLocksText="0">
      <xdr:nvSpPr>
        <xdr:cNvPr id="406" name="Text Box 409"/>
        <xdr:cNvSpPr txBox="1">
          <a:spLocks noChangeArrowheads="1"/>
        </xdr:cNvSpPr>
      </xdr:nvSpPr>
      <xdr:spPr>
        <a:xfrm>
          <a:off x="21336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407" name="Text Box 410"/>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408" name="Text Box 411"/>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409" name="Text Box 412"/>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29</xdr:row>
      <xdr:rowOff>76200</xdr:rowOff>
    </xdr:from>
    <xdr:ext cx="104775" cy="228600"/>
    <xdr:sp fLocksText="0">
      <xdr:nvSpPr>
        <xdr:cNvPr id="410" name="Text Box 413"/>
        <xdr:cNvSpPr txBox="1">
          <a:spLocks noChangeArrowheads="1"/>
        </xdr:cNvSpPr>
      </xdr:nvSpPr>
      <xdr:spPr>
        <a:xfrm>
          <a:off x="26289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411" name="Text Box 414"/>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412" name="Text Box 415"/>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413" name="Text Box 416"/>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29</xdr:row>
      <xdr:rowOff>76200</xdr:rowOff>
    </xdr:from>
    <xdr:ext cx="104775" cy="228600"/>
    <xdr:sp fLocksText="0">
      <xdr:nvSpPr>
        <xdr:cNvPr id="414" name="Text Box 417"/>
        <xdr:cNvSpPr txBox="1">
          <a:spLocks noChangeArrowheads="1"/>
        </xdr:cNvSpPr>
      </xdr:nvSpPr>
      <xdr:spPr>
        <a:xfrm>
          <a:off x="3124200" y="6515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76200</xdr:rowOff>
    </xdr:from>
    <xdr:ext cx="104775" cy="228600"/>
    <xdr:sp fLocksText="0">
      <xdr:nvSpPr>
        <xdr:cNvPr id="415" name="Text Box 418"/>
        <xdr:cNvSpPr txBox="1">
          <a:spLocks noChangeArrowheads="1"/>
        </xdr:cNvSpPr>
      </xdr:nvSpPr>
      <xdr:spPr>
        <a:xfrm>
          <a:off x="6477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76200</xdr:rowOff>
    </xdr:from>
    <xdr:ext cx="104775" cy="228600"/>
    <xdr:sp fLocksText="0">
      <xdr:nvSpPr>
        <xdr:cNvPr id="416" name="Text Box 419"/>
        <xdr:cNvSpPr txBox="1">
          <a:spLocks noChangeArrowheads="1"/>
        </xdr:cNvSpPr>
      </xdr:nvSpPr>
      <xdr:spPr>
        <a:xfrm>
          <a:off x="6477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76200</xdr:rowOff>
    </xdr:from>
    <xdr:ext cx="104775" cy="228600"/>
    <xdr:sp fLocksText="0">
      <xdr:nvSpPr>
        <xdr:cNvPr id="417" name="Text Box 420"/>
        <xdr:cNvSpPr txBox="1">
          <a:spLocks noChangeArrowheads="1"/>
        </xdr:cNvSpPr>
      </xdr:nvSpPr>
      <xdr:spPr>
        <a:xfrm>
          <a:off x="6477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76200</xdr:rowOff>
    </xdr:from>
    <xdr:ext cx="104775" cy="228600"/>
    <xdr:sp fLocksText="0">
      <xdr:nvSpPr>
        <xdr:cNvPr id="418" name="Text Box 421"/>
        <xdr:cNvSpPr txBox="1">
          <a:spLocks noChangeArrowheads="1"/>
        </xdr:cNvSpPr>
      </xdr:nvSpPr>
      <xdr:spPr>
        <a:xfrm>
          <a:off x="6477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104775" cy="228600"/>
    <xdr:sp fLocksText="0">
      <xdr:nvSpPr>
        <xdr:cNvPr id="419" name="Text Box 422"/>
        <xdr:cNvSpPr txBox="1">
          <a:spLocks noChangeArrowheads="1"/>
        </xdr:cNvSpPr>
      </xdr:nvSpPr>
      <xdr:spPr>
        <a:xfrm>
          <a:off x="11430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104775" cy="228600"/>
    <xdr:sp fLocksText="0">
      <xdr:nvSpPr>
        <xdr:cNvPr id="420" name="Text Box 423"/>
        <xdr:cNvSpPr txBox="1">
          <a:spLocks noChangeArrowheads="1"/>
        </xdr:cNvSpPr>
      </xdr:nvSpPr>
      <xdr:spPr>
        <a:xfrm>
          <a:off x="11430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104775" cy="228600"/>
    <xdr:sp fLocksText="0">
      <xdr:nvSpPr>
        <xdr:cNvPr id="421" name="Text Box 424"/>
        <xdr:cNvSpPr txBox="1">
          <a:spLocks noChangeArrowheads="1"/>
        </xdr:cNvSpPr>
      </xdr:nvSpPr>
      <xdr:spPr>
        <a:xfrm>
          <a:off x="11430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104775" cy="228600"/>
    <xdr:sp fLocksText="0">
      <xdr:nvSpPr>
        <xdr:cNvPr id="422" name="Text Box 425"/>
        <xdr:cNvSpPr txBox="1">
          <a:spLocks noChangeArrowheads="1"/>
        </xdr:cNvSpPr>
      </xdr:nvSpPr>
      <xdr:spPr>
        <a:xfrm>
          <a:off x="11430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23" name="Text Box 426"/>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24" name="Text Box 427"/>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25" name="Text Box 428"/>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26" name="Text Box 429"/>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27" name="Text Box 430"/>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28" name="Text Box 431"/>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29" name="Text Box 432"/>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30" name="Text Box 433"/>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31" name="Text Box 434"/>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32" name="Text Box 435"/>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33" name="Text Box 436"/>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34" name="Text Box 437"/>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35" name="Text Box 438"/>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36" name="Text Box 439"/>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37" name="Text Box 440"/>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38" name="Text Box 441"/>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104775" cy="228600"/>
    <xdr:sp fLocksText="0">
      <xdr:nvSpPr>
        <xdr:cNvPr id="439" name="Text Box 442"/>
        <xdr:cNvSpPr txBox="1">
          <a:spLocks noChangeArrowheads="1"/>
        </xdr:cNvSpPr>
      </xdr:nvSpPr>
      <xdr:spPr>
        <a:xfrm>
          <a:off x="11430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104775" cy="228600"/>
    <xdr:sp fLocksText="0">
      <xdr:nvSpPr>
        <xdr:cNvPr id="440" name="Text Box 443"/>
        <xdr:cNvSpPr txBox="1">
          <a:spLocks noChangeArrowheads="1"/>
        </xdr:cNvSpPr>
      </xdr:nvSpPr>
      <xdr:spPr>
        <a:xfrm>
          <a:off x="11430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104775" cy="228600"/>
    <xdr:sp fLocksText="0">
      <xdr:nvSpPr>
        <xdr:cNvPr id="441" name="Text Box 444"/>
        <xdr:cNvSpPr txBox="1">
          <a:spLocks noChangeArrowheads="1"/>
        </xdr:cNvSpPr>
      </xdr:nvSpPr>
      <xdr:spPr>
        <a:xfrm>
          <a:off x="11430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42" name="Text Box 445"/>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43" name="Text Box 446"/>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44" name="Text Box 447"/>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104775" cy="228600"/>
    <xdr:sp fLocksText="0">
      <xdr:nvSpPr>
        <xdr:cNvPr id="445" name="Text Box 448"/>
        <xdr:cNvSpPr txBox="1">
          <a:spLocks noChangeArrowheads="1"/>
        </xdr:cNvSpPr>
      </xdr:nvSpPr>
      <xdr:spPr>
        <a:xfrm>
          <a:off x="16383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46" name="Text Box 449"/>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47" name="Text Box 450"/>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48" name="Text Box 451"/>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31</xdr:row>
      <xdr:rowOff>76200</xdr:rowOff>
    </xdr:from>
    <xdr:ext cx="104775" cy="228600"/>
    <xdr:sp fLocksText="0">
      <xdr:nvSpPr>
        <xdr:cNvPr id="449" name="Text Box 452"/>
        <xdr:cNvSpPr txBox="1">
          <a:spLocks noChangeArrowheads="1"/>
        </xdr:cNvSpPr>
      </xdr:nvSpPr>
      <xdr:spPr>
        <a:xfrm>
          <a:off x="21336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50" name="Text Box 453"/>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51" name="Text Box 454"/>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52" name="Text Box 455"/>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xdr:row>
      <xdr:rowOff>76200</xdr:rowOff>
    </xdr:from>
    <xdr:ext cx="104775" cy="228600"/>
    <xdr:sp fLocksText="0">
      <xdr:nvSpPr>
        <xdr:cNvPr id="453" name="Text Box 456"/>
        <xdr:cNvSpPr txBox="1">
          <a:spLocks noChangeArrowheads="1"/>
        </xdr:cNvSpPr>
      </xdr:nvSpPr>
      <xdr:spPr>
        <a:xfrm>
          <a:off x="26289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54" name="Text Box 457"/>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55" name="Text Box 458"/>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56" name="Text Box 459"/>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31</xdr:row>
      <xdr:rowOff>76200</xdr:rowOff>
    </xdr:from>
    <xdr:ext cx="104775" cy="228600"/>
    <xdr:sp fLocksText="0">
      <xdr:nvSpPr>
        <xdr:cNvPr id="457" name="Text Box 460"/>
        <xdr:cNvSpPr txBox="1">
          <a:spLocks noChangeArrowheads="1"/>
        </xdr:cNvSpPr>
      </xdr:nvSpPr>
      <xdr:spPr>
        <a:xfrm>
          <a:off x="3124200" y="7067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58" name="Text Box 461"/>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59" name="Text Box 462"/>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60" name="Text Box 463"/>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61" name="Text Box 464"/>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62" name="Text Box 465"/>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63" name="Text Box 466"/>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64" name="Text Box 467"/>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65" name="Text Box 468"/>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66" name="Text Box 469"/>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67" name="Text Box 470"/>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68" name="Text Box 471"/>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69" name="Text Box 472"/>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70" name="Text Box 473"/>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71" name="Text Box 474"/>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72" name="Text Box 475"/>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73" name="Text Box 476"/>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474" name="Text Box 477"/>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475" name="Text Box 478"/>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476" name="Text Box 479"/>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477" name="Text Box 480"/>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478" name="Text Box 481"/>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479" name="Text Box 482"/>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480" name="Text Box 483"/>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481" name="Text Box 484"/>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482" name="Text Box 485"/>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483" name="Text Box 486"/>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484" name="Text Box 487"/>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485" name="Text Box 488"/>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86" name="Text Box 489"/>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87" name="Text Box 490"/>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88" name="Text Box 491"/>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489" name="Text Box 492"/>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0" name="Text Box 493"/>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1" name="Text Box 494"/>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2" name="Text Box 495"/>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3" name="Text Box 496"/>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4" name="Text Box 497"/>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5" name="Text Box 498"/>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6" name="Text Box 499"/>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497" name="Text Box 500"/>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498" name="Text Box 501"/>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499" name="Text Box 502"/>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00" name="Text Box 503"/>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01" name="Text Box 504"/>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502" name="Text Box 505"/>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503" name="Text Box 506"/>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504" name="Text Box 507"/>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76200</xdr:rowOff>
    </xdr:from>
    <xdr:ext cx="104775" cy="228600"/>
    <xdr:sp fLocksText="0">
      <xdr:nvSpPr>
        <xdr:cNvPr id="505" name="Text Box 508"/>
        <xdr:cNvSpPr txBox="1">
          <a:spLocks noChangeArrowheads="1"/>
        </xdr:cNvSpPr>
      </xdr:nvSpPr>
      <xdr:spPr>
        <a:xfrm>
          <a:off x="26289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506" name="Text Box 509"/>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507" name="Text Box 510"/>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508" name="Text Box 511"/>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33</xdr:row>
      <xdr:rowOff>76200</xdr:rowOff>
    </xdr:from>
    <xdr:ext cx="104775" cy="228600"/>
    <xdr:sp fLocksText="0">
      <xdr:nvSpPr>
        <xdr:cNvPr id="509" name="Text Box 512"/>
        <xdr:cNvSpPr txBox="1">
          <a:spLocks noChangeArrowheads="1"/>
        </xdr:cNvSpPr>
      </xdr:nvSpPr>
      <xdr:spPr>
        <a:xfrm>
          <a:off x="31242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0" name="Text Box 513"/>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1" name="Text Box 514"/>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2" name="Text Box 515"/>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3" name="Text Box 516"/>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4" name="Text Box 517"/>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5" name="Text Box 518"/>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6" name="Text Box 519"/>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17" name="Text Box 520"/>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18" name="Text Box 521"/>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19" name="Text Box 522"/>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0" name="Text Box 523"/>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1" name="Text Box 524"/>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2" name="Text Box 525"/>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3" name="Text Box 526"/>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4" name="Text Box 527"/>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5" name="Text Box 528"/>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6" name="Text Box 529"/>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7" name="Text Box 530"/>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8" name="Text Box 531"/>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29" name="Text Box 532"/>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30" name="Text Box 533"/>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31" name="Text Box 534"/>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32" name="Text Box 535"/>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33" name="Text Box 536"/>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34" name="Text Box 537"/>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35" name="Text Box 538"/>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36" name="Text Box 539"/>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37" name="Text Box 540"/>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38" name="Text Box 541"/>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39" name="Text Box 542"/>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40" name="Text Box 543"/>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41" name="Text Box 544"/>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42" name="Text Box 545"/>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43" name="Text Box 546"/>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44" name="Text Box 547"/>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45" name="Text Box 548"/>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46" name="Text Box 549"/>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47" name="Text Box 550"/>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48" name="Text Box 551"/>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76200</xdr:rowOff>
    </xdr:from>
    <xdr:ext cx="104775" cy="228600"/>
    <xdr:sp fLocksText="0">
      <xdr:nvSpPr>
        <xdr:cNvPr id="549" name="Text Box 552"/>
        <xdr:cNvSpPr txBox="1">
          <a:spLocks noChangeArrowheads="1"/>
        </xdr:cNvSpPr>
      </xdr:nvSpPr>
      <xdr:spPr>
        <a:xfrm>
          <a:off x="21336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0" name="Text Box 553"/>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1" name="Text Box 554"/>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2" name="Text Box 555"/>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3" name="Text Box 556"/>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4" name="Text Box 557"/>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5" name="Text Box 558"/>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6" name="Text Box 559"/>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104775" cy="228600"/>
    <xdr:sp fLocksText="0">
      <xdr:nvSpPr>
        <xdr:cNvPr id="557" name="Text Box 560"/>
        <xdr:cNvSpPr txBox="1">
          <a:spLocks noChangeArrowheads="1"/>
        </xdr:cNvSpPr>
      </xdr:nvSpPr>
      <xdr:spPr>
        <a:xfrm>
          <a:off x="11430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58" name="Text Box 561"/>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59" name="Text Box 562"/>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0" name="Text Box 563"/>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1" name="Text Box 564"/>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2" name="Text Box 565"/>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3" name="Text Box 566"/>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4" name="Text Box 567"/>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5" name="Text Box 568"/>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6" name="Text Box 569"/>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7" name="Text Box 570"/>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8" name="Text Box 571"/>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69" name="Text Box 572"/>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0" name="Text Box 573"/>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1" name="Text Box 574"/>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2" name="Text Box 575"/>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3" name="Text Box 576"/>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4" name="Text Box 577"/>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5" name="Text Box 578"/>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6" name="Text Box 579"/>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76200</xdr:rowOff>
    </xdr:from>
    <xdr:ext cx="104775" cy="228600"/>
    <xdr:sp fLocksText="0">
      <xdr:nvSpPr>
        <xdr:cNvPr id="577" name="Text Box 580"/>
        <xdr:cNvSpPr txBox="1">
          <a:spLocks noChangeArrowheads="1"/>
        </xdr:cNvSpPr>
      </xdr:nvSpPr>
      <xdr:spPr>
        <a:xfrm>
          <a:off x="647700" y="7620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78" name="Text Box 581"/>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79" name="Text Box 582"/>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80" name="Text Box 583"/>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81" name="Text Box 584"/>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82" name="Text Box 585"/>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83" name="Text Box 586"/>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84" name="Text Box 587"/>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585" name="Text Box 588"/>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86" name="Text Box 589"/>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87" name="Text Box 590"/>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88" name="Text Box 591"/>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89" name="Text Box 592"/>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90" name="Text Box 593"/>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91" name="Text Box 594"/>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92" name="Text Box 595"/>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593" name="Text Box 596"/>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594" name="Text Box 597"/>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595" name="Text Box 598"/>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596" name="Text Box 599"/>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597" name="Text Box 600"/>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598" name="Text Box 601"/>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599" name="Text Box 602"/>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600" name="Text Box 603"/>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601" name="Text Box 604"/>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02" name="Text Box 605"/>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03" name="Text Box 606"/>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04" name="Text Box 607"/>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05" name="Text Box 608"/>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06" name="Text Box 609"/>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07" name="Text Box 610"/>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08" name="Text Box 611"/>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09" name="Text Box 612"/>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0" name="Text Box 613"/>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1" name="Text Box 614"/>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2" name="Text Box 615"/>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3" name="Text Box 616"/>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4" name="Text Box 617"/>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5" name="Text Box 618"/>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6" name="Text Box 619"/>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17" name="Text Box 620"/>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18" name="Text Box 621"/>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19" name="Text Box 622"/>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20" name="Text Box 623"/>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21" name="Text Box 624"/>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622" name="Text Box 625"/>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623" name="Text Box 626"/>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624" name="Text Box 627"/>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49</xdr:row>
      <xdr:rowOff>76200</xdr:rowOff>
    </xdr:from>
    <xdr:ext cx="104775" cy="228600"/>
    <xdr:sp fLocksText="0">
      <xdr:nvSpPr>
        <xdr:cNvPr id="625" name="Text Box 628"/>
        <xdr:cNvSpPr txBox="1">
          <a:spLocks noChangeArrowheads="1"/>
        </xdr:cNvSpPr>
      </xdr:nvSpPr>
      <xdr:spPr>
        <a:xfrm>
          <a:off x="26289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26" name="Text Box 629"/>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27" name="Text Box 630"/>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28" name="Text Box 631"/>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49</xdr:row>
      <xdr:rowOff>76200</xdr:rowOff>
    </xdr:from>
    <xdr:ext cx="104775" cy="228600"/>
    <xdr:sp fLocksText="0">
      <xdr:nvSpPr>
        <xdr:cNvPr id="629" name="Text Box 632"/>
        <xdr:cNvSpPr txBox="1">
          <a:spLocks noChangeArrowheads="1"/>
        </xdr:cNvSpPr>
      </xdr:nvSpPr>
      <xdr:spPr>
        <a:xfrm>
          <a:off x="31242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0" name="Text Box 633"/>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1" name="Text Box 634"/>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2" name="Text Box 635"/>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3" name="Text Box 636"/>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4" name="Text Box 637"/>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5" name="Text Box 638"/>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6" name="Text Box 639"/>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37" name="Text Box 640"/>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38" name="Text Box 641"/>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39" name="Text Box 642"/>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0" name="Text Box 643"/>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1" name="Text Box 644"/>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2" name="Text Box 645"/>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3" name="Text Box 646"/>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4" name="Text Box 647"/>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5" name="Text Box 648"/>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6" name="Text Box 649"/>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7" name="Text Box 650"/>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8" name="Text Box 651"/>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49" name="Text Box 652"/>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50" name="Text Box 653"/>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51" name="Text Box 654"/>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52" name="Text Box 655"/>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53" name="Text Box 656"/>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54" name="Text Box 657"/>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55" name="Text Box 658"/>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56" name="Text Box 659"/>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57" name="Text Box 660"/>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58" name="Text Box 661"/>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59" name="Text Box 662"/>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60" name="Text Box 663"/>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61" name="Text Box 664"/>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62" name="Text Box 665"/>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63" name="Text Box 666"/>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64" name="Text Box 667"/>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65" name="Text Box 668"/>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66" name="Text Box 669"/>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67" name="Text Box 670"/>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68" name="Text Box 671"/>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49</xdr:row>
      <xdr:rowOff>76200</xdr:rowOff>
    </xdr:from>
    <xdr:ext cx="104775" cy="228600"/>
    <xdr:sp fLocksText="0">
      <xdr:nvSpPr>
        <xdr:cNvPr id="669" name="Text Box 672"/>
        <xdr:cNvSpPr txBox="1">
          <a:spLocks noChangeArrowheads="1"/>
        </xdr:cNvSpPr>
      </xdr:nvSpPr>
      <xdr:spPr>
        <a:xfrm>
          <a:off x="21336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0" name="Text Box 673"/>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1" name="Text Box 674"/>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2" name="Text Box 675"/>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3" name="Text Box 676"/>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4" name="Text Box 677"/>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5" name="Text Box 678"/>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6" name="Text Box 679"/>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104775" cy="228600"/>
    <xdr:sp fLocksText="0">
      <xdr:nvSpPr>
        <xdr:cNvPr id="677" name="Text Box 680"/>
        <xdr:cNvSpPr txBox="1">
          <a:spLocks noChangeArrowheads="1"/>
        </xdr:cNvSpPr>
      </xdr:nvSpPr>
      <xdr:spPr>
        <a:xfrm>
          <a:off x="11430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78" name="Text Box 681"/>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79" name="Text Box 682"/>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0" name="Text Box 683"/>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1" name="Text Box 684"/>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2" name="Text Box 685"/>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3" name="Text Box 686"/>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4" name="Text Box 687"/>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5" name="Text Box 688"/>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6" name="Text Box 689"/>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7" name="Text Box 690"/>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8" name="Text Box 691"/>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89" name="Text Box 692"/>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0" name="Text Box 693"/>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1" name="Text Box 694"/>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2" name="Text Box 695"/>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3" name="Text Box 696"/>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4" name="Text Box 697"/>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5" name="Text Box 698"/>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6" name="Text Box 699"/>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49</xdr:row>
      <xdr:rowOff>76200</xdr:rowOff>
    </xdr:from>
    <xdr:ext cx="104775" cy="228600"/>
    <xdr:sp fLocksText="0">
      <xdr:nvSpPr>
        <xdr:cNvPr id="697" name="Text Box 700"/>
        <xdr:cNvSpPr txBox="1">
          <a:spLocks noChangeArrowheads="1"/>
        </xdr:cNvSpPr>
      </xdr:nvSpPr>
      <xdr:spPr>
        <a:xfrm>
          <a:off x="647700" y="11468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47</xdr:row>
      <xdr:rowOff>76200</xdr:rowOff>
    </xdr:from>
    <xdr:ext cx="104775" cy="228600"/>
    <xdr:sp fLocksText="0">
      <xdr:nvSpPr>
        <xdr:cNvPr id="698" name="Text Box 701"/>
        <xdr:cNvSpPr txBox="1">
          <a:spLocks noChangeArrowheads="1"/>
        </xdr:cNvSpPr>
      </xdr:nvSpPr>
      <xdr:spPr>
        <a:xfrm>
          <a:off x="6477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47</xdr:row>
      <xdr:rowOff>76200</xdr:rowOff>
    </xdr:from>
    <xdr:ext cx="104775" cy="228600"/>
    <xdr:sp fLocksText="0">
      <xdr:nvSpPr>
        <xdr:cNvPr id="699" name="Text Box 702"/>
        <xdr:cNvSpPr txBox="1">
          <a:spLocks noChangeArrowheads="1"/>
        </xdr:cNvSpPr>
      </xdr:nvSpPr>
      <xdr:spPr>
        <a:xfrm>
          <a:off x="6477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47</xdr:row>
      <xdr:rowOff>76200</xdr:rowOff>
    </xdr:from>
    <xdr:ext cx="104775" cy="228600"/>
    <xdr:sp fLocksText="0">
      <xdr:nvSpPr>
        <xdr:cNvPr id="700" name="Text Box 703"/>
        <xdr:cNvSpPr txBox="1">
          <a:spLocks noChangeArrowheads="1"/>
        </xdr:cNvSpPr>
      </xdr:nvSpPr>
      <xdr:spPr>
        <a:xfrm>
          <a:off x="6477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47</xdr:row>
      <xdr:rowOff>76200</xdr:rowOff>
    </xdr:from>
    <xdr:ext cx="104775" cy="228600"/>
    <xdr:sp fLocksText="0">
      <xdr:nvSpPr>
        <xdr:cNvPr id="701" name="Text Box 704"/>
        <xdr:cNvSpPr txBox="1">
          <a:spLocks noChangeArrowheads="1"/>
        </xdr:cNvSpPr>
      </xdr:nvSpPr>
      <xdr:spPr>
        <a:xfrm>
          <a:off x="6477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104775" cy="228600"/>
    <xdr:sp fLocksText="0">
      <xdr:nvSpPr>
        <xdr:cNvPr id="702" name="Text Box 705"/>
        <xdr:cNvSpPr txBox="1">
          <a:spLocks noChangeArrowheads="1"/>
        </xdr:cNvSpPr>
      </xdr:nvSpPr>
      <xdr:spPr>
        <a:xfrm>
          <a:off x="11430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104775" cy="228600"/>
    <xdr:sp fLocksText="0">
      <xdr:nvSpPr>
        <xdr:cNvPr id="703" name="Text Box 706"/>
        <xdr:cNvSpPr txBox="1">
          <a:spLocks noChangeArrowheads="1"/>
        </xdr:cNvSpPr>
      </xdr:nvSpPr>
      <xdr:spPr>
        <a:xfrm>
          <a:off x="11430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104775" cy="228600"/>
    <xdr:sp fLocksText="0">
      <xdr:nvSpPr>
        <xdr:cNvPr id="704" name="Text Box 707"/>
        <xdr:cNvSpPr txBox="1">
          <a:spLocks noChangeArrowheads="1"/>
        </xdr:cNvSpPr>
      </xdr:nvSpPr>
      <xdr:spPr>
        <a:xfrm>
          <a:off x="11430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104775" cy="228600"/>
    <xdr:sp fLocksText="0">
      <xdr:nvSpPr>
        <xdr:cNvPr id="705" name="Text Box 708"/>
        <xdr:cNvSpPr txBox="1">
          <a:spLocks noChangeArrowheads="1"/>
        </xdr:cNvSpPr>
      </xdr:nvSpPr>
      <xdr:spPr>
        <a:xfrm>
          <a:off x="11430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06" name="Text Box 709"/>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07" name="Text Box 710"/>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08" name="Text Box 711"/>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09" name="Text Box 712"/>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10" name="Text Box 713"/>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11" name="Text Box 714"/>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12" name="Text Box 715"/>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13" name="Text Box 716"/>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14" name="Text Box 717"/>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15" name="Text Box 718"/>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16" name="Text Box 719"/>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17" name="Text Box 720"/>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18" name="Text Box 721"/>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19" name="Text Box 722"/>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20" name="Text Box 723"/>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21" name="Text Box 724"/>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104775" cy="228600"/>
    <xdr:sp fLocksText="0">
      <xdr:nvSpPr>
        <xdr:cNvPr id="722" name="Text Box 725"/>
        <xdr:cNvSpPr txBox="1">
          <a:spLocks noChangeArrowheads="1"/>
        </xdr:cNvSpPr>
      </xdr:nvSpPr>
      <xdr:spPr>
        <a:xfrm>
          <a:off x="11430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104775" cy="228600"/>
    <xdr:sp fLocksText="0">
      <xdr:nvSpPr>
        <xdr:cNvPr id="723" name="Text Box 726"/>
        <xdr:cNvSpPr txBox="1">
          <a:spLocks noChangeArrowheads="1"/>
        </xdr:cNvSpPr>
      </xdr:nvSpPr>
      <xdr:spPr>
        <a:xfrm>
          <a:off x="11430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104775" cy="228600"/>
    <xdr:sp fLocksText="0">
      <xdr:nvSpPr>
        <xdr:cNvPr id="724" name="Text Box 727"/>
        <xdr:cNvSpPr txBox="1">
          <a:spLocks noChangeArrowheads="1"/>
        </xdr:cNvSpPr>
      </xdr:nvSpPr>
      <xdr:spPr>
        <a:xfrm>
          <a:off x="11430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25" name="Text Box 728"/>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26" name="Text Box 729"/>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27" name="Text Box 730"/>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104775" cy="228600"/>
    <xdr:sp fLocksText="0">
      <xdr:nvSpPr>
        <xdr:cNvPr id="728" name="Text Box 731"/>
        <xdr:cNvSpPr txBox="1">
          <a:spLocks noChangeArrowheads="1"/>
        </xdr:cNvSpPr>
      </xdr:nvSpPr>
      <xdr:spPr>
        <a:xfrm>
          <a:off x="16383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29" name="Text Box 732"/>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30" name="Text Box 733"/>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31" name="Text Box 734"/>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47</xdr:row>
      <xdr:rowOff>76200</xdr:rowOff>
    </xdr:from>
    <xdr:ext cx="104775" cy="228600"/>
    <xdr:sp fLocksText="0">
      <xdr:nvSpPr>
        <xdr:cNvPr id="732" name="Text Box 735"/>
        <xdr:cNvSpPr txBox="1">
          <a:spLocks noChangeArrowheads="1"/>
        </xdr:cNvSpPr>
      </xdr:nvSpPr>
      <xdr:spPr>
        <a:xfrm>
          <a:off x="21336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33" name="Text Box 736"/>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34" name="Text Box 737"/>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35" name="Text Box 738"/>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76200</xdr:rowOff>
    </xdr:from>
    <xdr:ext cx="104775" cy="228600"/>
    <xdr:sp fLocksText="0">
      <xdr:nvSpPr>
        <xdr:cNvPr id="736" name="Text Box 739"/>
        <xdr:cNvSpPr txBox="1">
          <a:spLocks noChangeArrowheads="1"/>
        </xdr:cNvSpPr>
      </xdr:nvSpPr>
      <xdr:spPr>
        <a:xfrm>
          <a:off x="26289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37" name="Text Box 740"/>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38" name="Text Box 741"/>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39" name="Text Box 742"/>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47</xdr:row>
      <xdr:rowOff>76200</xdr:rowOff>
    </xdr:from>
    <xdr:ext cx="104775" cy="228600"/>
    <xdr:sp fLocksText="0">
      <xdr:nvSpPr>
        <xdr:cNvPr id="740" name="Text Box 743"/>
        <xdr:cNvSpPr txBox="1">
          <a:spLocks noChangeArrowheads="1"/>
        </xdr:cNvSpPr>
      </xdr:nvSpPr>
      <xdr:spPr>
        <a:xfrm>
          <a:off x="3124200" y="10915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41</xdr:row>
      <xdr:rowOff>76200</xdr:rowOff>
    </xdr:from>
    <xdr:ext cx="104775" cy="228600"/>
    <xdr:sp fLocksText="0">
      <xdr:nvSpPr>
        <xdr:cNvPr id="741" name="Text Box 744"/>
        <xdr:cNvSpPr txBox="1">
          <a:spLocks noChangeArrowheads="1"/>
        </xdr:cNvSpPr>
      </xdr:nvSpPr>
      <xdr:spPr>
        <a:xfrm>
          <a:off x="6477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41</xdr:row>
      <xdr:rowOff>76200</xdr:rowOff>
    </xdr:from>
    <xdr:ext cx="104775" cy="228600"/>
    <xdr:sp fLocksText="0">
      <xdr:nvSpPr>
        <xdr:cNvPr id="742" name="Text Box 745"/>
        <xdr:cNvSpPr txBox="1">
          <a:spLocks noChangeArrowheads="1"/>
        </xdr:cNvSpPr>
      </xdr:nvSpPr>
      <xdr:spPr>
        <a:xfrm>
          <a:off x="6477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41</xdr:row>
      <xdr:rowOff>76200</xdr:rowOff>
    </xdr:from>
    <xdr:ext cx="104775" cy="228600"/>
    <xdr:sp fLocksText="0">
      <xdr:nvSpPr>
        <xdr:cNvPr id="743" name="Text Box 746"/>
        <xdr:cNvSpPr txBox="1">
          <a:spLocks noChangeArrowheads="1"/>
        </xdr:cNvSpPr>
      </xdr:nvSpPr>
      <xdr:spPr>
        <a:xfrm>
          <a:off x="6477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41</xdr:row>
      <xdr:rowOff>76200</xdr:rowOff>
    </xdr:from>
    <xdr:ext cx="104775" cy="228600"/>
    <xdr:sp fLocksText="0">
      <xdr:nvSpPr>
        <xdr:cNvPr id="744" name="Text Box 747"/>
        <xdr:cNvSpPr txBox="1">
          <a:spLocks noChangeArrowheads="1"/>
        </xdr:cNvSpPr>
      </xdr:nvSpPr>
      <xdr:spPr>
        <a:xfrm>
          <a:off x="6477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104775" cy="228600"/>
    <xdr:sp fLocksText="0">
      <xdr:nvSpPr>
        <xdr:cNvPr id="745" name="Text Box 748"/>
        <xdr:cNvSpPr txBox="1">
          <a:spLocks noChangeArrowheads="1"/>
        </xdr:cNvSpPr>
      </xdr:nvSpPr>
      <xdr:spPr>
        <a:xfrm>
          <a:off x="11430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104775" cy="228600"/>
    <xdr:sp fLocksText="0">
      <xdr:nvSpPr>
        <xdr:cNvPr id="746" name="Text Box 749"/>
        <xdr:cNvSpPr txBox="1">
          <a:spLocks noChangeArrowheads="1"/>
        </xdr:cNvSpPr>
      </xdr:nvSpPr>
      <xdr:spPr>
        <a:xfrm>
          <a:off x="11430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104775" cy="228600"/>
    <xdr:sp fLocksText="0">
      <xdr:nvSpPr>
        <xdr:cNvPr id="747" name="Text Box 750"/>
        <xdr:cNvSpPr txBox="1">
          <a:spLocks noChangeArrowheads="1"/>
        </xdr:cNvSpPr>
      </xdr:nvSpPr>
      <xdr:spPr>
        <a:xfrm>
          <a:off x="11430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104775" cy="228600"/>
    <xdr:sp fLocksText="0">
      <xdr:nvSpPr>
        <xdr:cNvPr id="748" name="Text Box 751"/>
        <xdr:cNvSpPr txBox="1">
          <a:spLocks noChangeArrowheads="1"/>
        </xdr:cNvSpPr>
      </xdr:nvSpPr>
      <xdr:spPr>
        <a:xfrm>
          <a:off x="11430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49" name="Text Box 752"/>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50" name="Text Box 753"/>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51" name="Text Box 754"/>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52" name="Text Box 755"/>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53" name="Text Box 756"/>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54" name="Text Box 757"/>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55" name="Text Box 758"/>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56" name="Text Box 759"/>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57" name="Text Box 760"/>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58" name="Text Box 761"/>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59" name="Text Box 762"/>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60" name="Text Box 763"/>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61" name="Text Box 764"/>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62" name="Text Box 765"/>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63" name="Text Box 766"/>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64" name="Text Box 767"/>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104775" cy="228600"/>
    <xdr:sp fLocksText="0">
      <xdr:nvSpPr>
        <xdr:cNvPr id="765" name="Text Box 768"/>
        <xdr:cNvSpPr txBox="1">
          <a:spLocks noChangeArrowheads="1"/>
        </xdr:cNvSpPr>
      </xdr:nvSpPr>
      <xdr:spPr>
        <a:xfrm>
          <a:off x="11430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104775" cy="228600"/>
    <xdr:sp fLocksText="0">
      <xdr:nvSpPr>
        <xdr:cNvPr id="766" name="Text Box 769"/>
        <xdr:cNvSpPr txBox="1">
          <a:spLocks noChangeArrowheads="1"/>
        </xdr:cNvSpPr>
      </xdr:nvSpPr>
      <xdr:spPr>
        <a:xfrm>
          <a:off x="11430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104775" cy="228600"/>
    <xdr:sp fLocksText="0">
      <xdr:nvSpPr>
        <xdr:cNvPr id="767" name="Text Box 770"/>
        <xdr:cNvSpPr txBox="1">
          <a:spLocks noChangeArrowheads="1"/>
        </xdr:cNvSpPr>
      </xdr:nvSpPr>
      <xdr:spPr>
        <a:xfrm>
          <a:off x="11430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68" name="Text Box 771"/>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69" name="Text Box 772"/>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70" name="Text Box 773"/>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104775" cy="228600"/>
    <xdr:sp fLocksText="0">
      <xdr:nvSpPr>
        <xdr:cNvPr id="771" name="Text Box 774"/>
        <xdr:cNvSpPr txBox="1">
          <a:spLocks noChangeArrowheads="1"/>
        </xdr:cNvSpPr>
      </xdr:nvSpPr>
      <xdr:spPr>
        <a:xfrm>
          <a:off x="16383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72" name="Text Box 775"/>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73" name="Text Box 776"/>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74" name="Text Box 777"/>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41</xdr:row>
      <xdr:rowOff>76200</xdr:rowOff>
    </xdr:from>
    <xdr:ext cx="104775" cy="228600"/>
    <xdr:sp fLocksText="0">
      <xdr:nvSpPr>
        <xdr:cNvPr id="775" name="Text Box 778"/>
        <xdr:cNvSpPr txBox="1">
          <a:spLocks noChangeArrowheads="1"/>
        </xdr:cNvSpPr>
      </xdr:nvSpPr>
      <xdr:spPr>
        <a:xfrm>
          <a:off x="21336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76" name="Text Box 779"/>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77" name="Text Box 780"/>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78" name="Text Box 781"/>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41</xdr:row>
      <xdr:rowOff>76200</xdr:rowOff>
    </xdr:from>
    <xdr:ext cx="104775" cy="228600"/>
    <xdr:sp fLocksText="0">
      <xdr:nvSpPr>
        <xdr:cNvPr id="779" name="Text Box 782"/>
        <xdr:cNvSpPr txBox="1">
          <a:spLocks noChangeArrowheads="1"/>
        </xdr:cNvSpPr>
      </xdr:nvSpPr>
      <xdr:spPr>
        <a:xfrm>
          <a:off x="26289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80" name="Text Box 783"/>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81" name="Text Box 784"/>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82" name="Text Box 785"/>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41</xdr:row>
      <xdr:rowOff>76200</xdr:rowOff>
    </xdr:from>
    <xdr:ext cx="104775" cy="228600"/>
    <xdr:sp fLocksText="0">
      <xdr:nvSpPr>
        <xdr:cNvPr id="783" name="Text Box 786"/>
        <xdr:cNvSpPr txBox="1">
          <a:spLocks noChangeArrowheads="1"/>
        </xdr:cNvSpPr>
      </xdr:nvSpPr>
      <xdr:spPr>
        <a:xfrm>
          <a:off x="3124200" y="9258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43</xdr:row>
      <xdr:rowOff>76200</xdr:rowOff>
    </xdr:from>
    <xdr:ext cx="104775" cy="228600"/>
    <xdr:sp fLocksText="0">
      <xdr:nvSpPr>
        <xdr:cNvPr id="784" name="Text Box 787"/>
        <xdr:cNvSpPr txBox="1">
          <a:spLocks noChangeArrowheads="1"/>
        </xdr:cNvSpPr>
      </xdr:nvSpPr>
      <xdr:spPr>
        <a:xfrm>
          <a:off x="6477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43</xdr:row>
      <xdr:rowOff>76200</xdr:rowOff>
    </xdr:from>
    <xdr:ext cx="104775" cy="228600"/>
    <xdr:sp fLocksText="0">
      <xdr:nvSpPr>
        <xdr:cNvPr id="785" name="Text Box 788"/>
        <xdr:cNvSpPr txBox="1">
          <a:spLocks noChangeArrowheads="1"/>
        </xdr:cNvSpPr>
      </xdr:nvSpPr>
      <xdr:spPr>
        <a:xfrm>
          <a:off x="6477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43</xdr:row>
      <xdr:rowOff>76200</xdr:rowOff>
    </xdr:from>
    <xdr:ext cx="104775" cy="228600"/>
    <xdr:sp fLocksText="0">
      <xdr:nvSpPr>
        <xdr:cNvPr id="786" name="Text Box 789"/>
        <xdr:cNvSpPr txBox="1">
          <a:spLocks noChangeArrowheads="1"/>
        </xdr:cNvSpPr>
      </xdr:nvSpPr>
      <xdr:spPr>
        <a:xfrm>
          <a:off x="6477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43</xdr:row>
      <xdr:rowOff>76200</xdr:rowOff>
    </xdr:from>
    <xdr:ext cx="104775" cy="228600"/>
    <xdr:sp fLocksText="0">
      <xdr:nvSpPr>
        <xdr:cNvPr id="787" name="Text Box 790"/>
        <xdr:cNvSpPr txBox="1">
          <a:spLocks noChangeArrowheads="1"/>
        </xdr:cNvSpPr>
      </xdr:nvSpPr>
      <xdr:spPr>
        <a:xfrm>
          <a:off x="6477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104775" cy="228600"/>
    <xdr:sp fLocksText="0">
      <xdr:nvSpPr>
        <xdr:cNvPr id="788" name="Text Box 791"/>
        <xdr:cNvSpPr txBox="1">
          <a:spLocks noChangeArrowheads="1"/>
        </xdr:cNvSpPr>
      </xdr:nvSpPr>
      <xdr:spPr>
        <a:xfrm>
          <a:off x="11430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104775" cy="228600"/>
    <xdr:sp fLocksText="0">
      <xdr:nvSpPr>
        <xdr:cNvPr id="789" name="Text Box 792"/>
        <xdr:cNvSpPr txBox="1">
          <a:spLocks noChangeArrowheads="1"/>
        </xdr:cNvSpPr>
      </xdr:nvSpPr>
      <xdr:spPr>
        <a:xfrm>
          <a:off x="11430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104775" cy="228600"/>
    <xdr:sp fLocksText="0">
      <xdr:nvSpPr>
        <xdr:cNvPr id="790" name="Text Box 793"/>
        <xdr:cNvSpPr txBox="1">
          <a:spLocks noChangeArrowheads="1"/>
        </xdr:cNvSpPr>
      </xdr:nvSpPr>
      <xdr:spPr>
        <a:xfrm>
          <a:off x="11430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104775" cy="228600"/>
    <xdr:sp fLocksText="0">
      <xdr:nvSpPr>
        <xdr:cNvPr id="791" name="Text Box 794"/>
        <xdr:cNvSpPr txBox="1">
          <a:spLocks noChangeArrowheads="1"/>
        </xdr:cNvSpPr>
      </xdr:nvSpPr>
      <xdr:spPr>
        <a:xfrm>
          <a:off x="11430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792" name="Text Box 795"/>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793" name="Text Box 796"/>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794" name="Text Box 797"/>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795" name="Text Box 798"/>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796" name="Text Box 799"/>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797" name="Text Box 800"/>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798" name="Text Box 801"/>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799" name="Text Box 802"/>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00" name="Text Box 803"/>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01" name="Text Box 804"/>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02" name="Text Box 805"/>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03" name="Text Box 806"/>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04" name="Text Box 807"/>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05" name="Text Box 808"/>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06" name="Text Box 809"/>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07" name="Text Box 810"/>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104775" cy="228600"/>
    <xdr:sp fLocksText="0">
      <xdr:nvSpPr>
        <xdr:cNvPr id="808" name="Text Box 811"/>
        <xdr:cNvSpPr txBox="1">
          <a:spLocks noChangeArrowheads="1"/>
        </xdr:cNvSpPr>
      </xdr:nvSpPr>
      <xdr:spPr>
        <a:xfrm>
          <a:off x="11430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104775" cy="228600"/>
    <xdr:sp fLocksText="0">
      <xdr:nvSpPr>
        <xdr:cNvPr id="809" name="Text Box 812"/>
        <xdr:cNvSpPr txBox="1">
          <a:spLocks noChangeArrowheads="1"/>
        </xdr:cNvSpPr>
      </xdr:nvSpPr>
      <xdr:spPr>
        <a:xfrm>
          <a:off x="11430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104775" cy="228600"/>
    <xdr:sp fLocksText="0">
      <xdr:nvSpPr>
        <xdr:cNvPr id="810" name="Text Box 813"/>
        <xdr:cNvSpPr txBox="1">
          <a:spLocks noChangeArrowheads="1"/>
        </xdr:cNvSpPr>
      </xdr:nvSpPr>
      <xdr:spPr>
        <a:xfrm>
          <a:off x="11430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811" name="Text Box 814"/>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812" name="Text Box 815"/>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813" name="Text Box 816"/>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104775" cy="228600"/>
    <xdr:sp fLocksText="0">
      <xdr:nvSpPr>
        <xdr:cNvPr id="814" name="Text Box 817"/>
        <xdr:cNvSpPr txBox="1">
          <a:spLocks noChangeArrowheads="1"/>
        </xdr:cNvSpPr>
      </xdr:nvSpPr>
      <xdr:spPr>
        <a:xfrm>
          <a:off x="16383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815" name="Text Box 818"/>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816" name="Text Box 819"/>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817" name="Text Box 820"/>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43</xdr:row>
      <xdr:rowOff>76200</xdr:rowOff>
    </xdr:from>
    <xdr:ext cx="104775" cy="228600"/>
    <xdr:sp fLocksText="0">
      <xdr:nvSpPr>
        <xdr:cNvPr id="818" name="Text Box 821"/>
        <xdr:cNvSpPr txBox="1">
          <a:spLocks noChangeArrowheads="1"/>
        </xdr:cNvSpPr>
      </xdr:nvSpPr>
      <xdr:spPr>
        <a:xfrm>
          <a:off x="21336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19" name="Text Box 822"/>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20" name="Text Box 823"/>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21" name="Text Box 824"/>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43</xdr:row>
      <xdr:rowOff>76200</xdr:rowOff>
    </xdr:from>
    <xdr:ext cx="104775" cy="228600"/>
    <xdr:sp fLocksText="0">
      <xdr:nvSpPr>
        <xdr:cNvPr id="822" name="Text Box 825"/>
        <xdr:cNvSpPr txBox="1">
          <a:spLocks noChangeArrowheads="1"/>
        </xdr:cNvSpPr>
      </xdr:nvSpPr>
      <xdr:spPr>
        <a:xfrm>
          <a:off x="26289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23" name="Text Box 826"/>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24" name="Text Box 827"/>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25" name="Text Box 828"/>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43</xdr:row>
      <xdr:rowOff>76200</xdr:rowOff>
    </xdr:from>
    <xdr:ext cx="104775" cy="228600"/>
    <xdr:sp fLocksText="0">
      <xdr:nvSpPr>
        <xdr:cNvPr id="826" name="Text Box 829"/>
        <xdr:cNvSpPr txBox="1">
          <a:spLocks noChangeArrowheads="1"/>
        </xdr:cNvSpPr>
      </xdr:nvSpPr>
      <xdr:spPr>
        <a:xfrm>
          <a:off x="3124200" y="9810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45</xdr:row>
      <xdr:rowOff>76200</xdr:rowOff>
    </xdr:from>
    <xdr:ext cx="104775" cy="228600"/>
    <xdr:sp fLocksText="0">
      <xdr:nvSpPr>
        <xdr:cNvPr id="827" name="Text Box 830"/>
        <xdr:cNvSpPr txBox="1">
          <a:spLocks noChangeArrowheads="1"/>
        </xdr:cNvSpPr>
      </xdr:nvSpPr>
      <xdr:spPr>
        <a:xfrm>
          <a:off x="6477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45</xdr:row>
      <xdr:rowOff>76200</xdr:rowOff>
    </xdr:from>
    <xdr:ext cx="104775" cy="228600"/>
    <xdr:sp fLocksText="0">
      <xdr:nvSpPr>
        <xdr:cNvPr id="828" name="Text Box 831"/>
        <xdr:cNvSpPr txBox="1">
          <a:spLocks noChangeArrowheads="1"/>
        </xdr:cNvSpPr>
      </xdr:nvSpPr>
      <xdr:spPr>
        <a:xfrm>
          <a:off x="6477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45</xdr:row>
      <xdr:rowOff>76200</xdr:rowOff>
    </xdr:from>
    <xdr:ext cx="104775" cy="228600"/>
    <xdr:sp fLocksText="0">
      <xdr:nvSpPr>
        <xdr:cNvPr id="829" name="Text Box 832"/>
        <xdr:cNvSpPr txBox="1">
          <a:spLocks noChangeArrowheads="1"/>
        </xdr:cNvSpPr>
      </xdr:nvSpPr>
      <xdr:spPr>
        <a:xfrm>
          <a:off x="6477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45</xdr:row>
      <xdr:rowOff>76200</xdr:rowOff>
    </xdr:from>
    <xdr:ext cx="104775" cy="228600"/>
    <xdr:sp fLocksText="0">
      <xdr:nvSpPr>
        <xdr:cNvPr id="830" name="Text Box 833"/>
        <xdr:cNvSpPr txBox="1">
          <a:spLocks noChangeArrowheads="1"/>
        </xdr:cNvSpPr>
      </xdr:nvSpPr>
      <xdr:spPr>
        <a:xfrm>
          <a:off x="6477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104775" cy="228600"/>
    <xdr:sp fLocksText="0">
      <xdr:nvSpPr>
        <xdr:cNvPr id="831" name="Text Box 834"/>
        <xdr:cNvSpPr txBox="1">
          <a:spLocks noChangeArrowheads="1"/>
        </xdr:cNvSpPr>
      </xdr:nvSpPr>
      <xdr:spPr>
        <a:xfrm>
          <a:off x="11430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104775" cy="228600"/>
    <xdr:sp fLocksText="0">
      <xdr:nvSpPr>
        <xdr:cNvPr id="832" name="Text Box 835"/>
        <xdr:cNvSpPr txBox="1">
          <a:spLocks noChangeArrowheads="1"/>
        </xdr:cNvSpPr>
      </xdr:nvSpPr>
      <xdr:spPr>
        <a:xfrm>
          <a:off x="11430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104775" cy="228600"/>
    <xdr:sp fLocksText="0">
      <xdr:nvSpPr>
        <xdr:cNvPr id="833" name="Text Box 836"/>
        <xdr:cNvSpPr txBox="1">
          <a:spLocks noChangeArrowheads="1"/>
        </xdr:cNvSpPr>
      </xdr:nvSpPr>
      <xdr:spPr>
        <a:xfrm>
          <a:off x="11430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104775" cy="228600"/>
    <xdr:sp fLocksText="0">
      <xdr:nvSpPr>
        <xdr:cNvPr id="834" name="Text Box 837"/>
        <xdr:cNvSpPr txBox="1">
          <a:spLocks noChangeArrowheads="1"/>
        </xdr:cNvSpPr>
      </xdr:nvSpPr>
      <xdr:spPr>
        <a:xfrm>
          <a:off x="11430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35" name="Text Box 838"/>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36" name="Text Box 839"/>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37" name="Text Box 840"/>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38" name="Text Box 841"/>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39" name="Text Box 842"/>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40" name="Text Box 843"/>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41" name="Text Box 844"/>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42" name="Text Box 845"/>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43" name="Text Box 846"/>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44" name="Text Box 847"/>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45" name="Text Box 848"/>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46" name="Text Box 849"/>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47" name="Text Box 850"/>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48" name="Text Box 851"/>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49" name="Text Box 852"/>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50" name="Text Box 853"/>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104775" cy="228600"/>
    <xdr:sp fLocksText="0">
      <xdr:nvSpPr>
        <xdr:cNvPr id="851" name="Text Box 854"/>
        <xdr:cNvSpPr txBox="1">
          <a:spLocks noChangeArrowheads="1"/>
        </xdr:cNvSpPr>
      </xdr:nvSpPr>
      <xdr:spPr>
        <a:xfrm>
          <a:off x="11430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104775" cy="228600"/>
    <xdr:sp fLocksText="0">
      <xdr:nvSpPr>
        <xdr:cNvPr id="852" name="Text Box 855"/>
        <xdr:cNvSpPr txBox="1">
          <a:spLocks noChangeArrowheads="1"/>
        </xdr:cNvSpPr>
      </xdr:nvSpPr>
      <xdr:spPr>
        <a:xfrm>
          <a:off x="11430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104775" cy="228600"/>
    <xdr:sp fLocksText="0">
      <xdr:nvSpPr>
        <xdr:cNvPr id="853" name="Text Box 856"/>
        <xdr:cNvSpPr txBox="1">
          <a:spLocks noChangeArrowheads="1"/>
        </xdr:cNvSpPr>
      </xdr:nvSpPr>
      <xdr:spPr>
        <a:xfrm>
          <a:off x="11430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54" name="Text Box 857"/>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55" name="Text Box 858"/>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56" name="Text Box 859"/>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104775" cy="228600"/>
    <xdr:sp fLocksText="0">
      <xdr:nvSpPr>
        <xdr:cNvPr id="857" name="Text Box 860"/>
        <xdr:cNvSpPr txBox="1">
          <a:spLocks noChangeArrowheads="1"/>
        </xdr:cNvSpPr>
      </xdr:nvSpPr>
      <xdr:spPr>
        <a:xfrm>
          <a:off x="16383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58" name="Text Box 861"/>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59" name="Text Box 862"/>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60" name="Text Box 863"/>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xdr:row>
      <xdr:rowOff>76200</xdr:rowOff>
    </xdr:from>
    <xdr:ext cx="104775" cy="228600"/>
    <xdr:sp fLocksText="0">
      <xdr:nvSpPr>
        <xdr:cNvPr id="861" name="Text Box 864"/>
        <xdr:cNvSpPr txBox="1">
          <a:spLocks noChangeArrowheads="1"/>
        </xdr:cNvSpPr>
      </xdr:nvSpPr>
      <xdr:spPr>
        <a:xfrm>
          <a:off x="21336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62" name="Text Box 865"/>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63" name="Text Box 866"/>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64" name="Text Box 867"/>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45</xdr:row>
      <xdr:rowOff>76200</xdr:rowOff>
    </xdr:from>
    <xdr:ext cx="104775" cy="228600"/>
    <xdr:sp fLocksText="0">
      <xdr:nvSpPr>
        <xdr:cNvPr id="865" name="Text Box 868"/>
        <xdr:cNvSpPr txBox="1">
          <a:spLocks noChangeArrowheads="1"/>
        </xdr:cNvSpPr>
      </xdr:nvSpPr>
      <xdr:spPr>
        <a:xfrm>
          <a:off x="26289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66" name="Text Box 869"/>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67" name="Text Box 870"/>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68" name="Text Box 871"/>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45</xdr:row>
      <xdr:rowOff>76200</xdr:rowOff>
    </xdr:from>
    <xdr:ext cx="104775" cy="228600"/>
    <xdr:sp fLocksText="0">
      <xdr:nvSpPr>
        <xdr:cNvPr id="869" name="Text Box 872"/>
        <xdr:cNvSpPr txBox="1">
          <a:spLocks noChangeArrowheads="1"/>
        </xdr:cNvSpPr>
      </xdr:nvSpPr>
      <xdr:spPr>
        <a:xfrm>
          <a:off x="3124200" y="10363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0" name="Text Box 873"/>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1" name="Text Box 874"/>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2" name="Text Box 875"/>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3" name="Text Box 876"/>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4" name="Text Box 877"/>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5" name="Text Box 878"/>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6" name="Text Box 879"/>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77" name="Text Box 880"/>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78" name="Text Box 881"/>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79" name="Text Box 882"/>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80" name="Text Box 883"/>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81" name="Text Box 884"/>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82" name="Text Box 885"/>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83" name="Text Box 886"/>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84" name="Text Box 887"/>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885" name="Text Box 888"/>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886" name="Text Box 889"/>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887" name="Text Box 890"/>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888" name="Text Box 891"/>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889" name="Text Box 892"/>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890" name="Text Box 893"/>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891" name="Text Box 894"/>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892" name="Text Box 895"/>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893" name="Text Box 896"/>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894" name="Text Box 897"/>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895" name="Text Box 898"/>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896" name="Text Box 899"/>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897" name="Text Box 900"/>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98" name="Text Box 901"/>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899" name="Text Box 902"/>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00" name="Text Box 903"/>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01" name="Text Box 904"/>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2" name="Text Box 905"/>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3" name="Text Box 906"/>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4" name="Text Box 907"/>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5" name="Text Box 908"/>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6" name="Text Box 909"/>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7" name="Text Box 910"/>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8" name="Text Box 911"/>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09" name="Text Box 912"/>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10" name="Text Box 913"/>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11" name="Text Box 914"/>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12" name="Text Box 915"/>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13" name="Text Box 916"/>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914" name="Text Box 917"/>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915" name="Text Box 918"/>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916" name="Text Box 919"/>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65</xdr:row>
      <xdr:rowOff>76200</xdr:rowOff>
    </xdr:from>
    <xdr:ext cx="104775" cy="228600"/>
    <xdr:sp fLocksText="0">
      <xdr:nvSpPr>
        <xdr:cNvPr id="917" name="Text Box 920"/>
        <xdr:cNvSpPr txBox="1">
          <a:spLocks noChangeArrowheads="1"/>
        </xdr:cNvSpPr>
      </xdr:nvSpPr>
      <xdr:spPr>
        <a:xfrm>
          <a:off x="26289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918" name="Text Box 921"/>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919" name="Text Box 922"/>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920" name="Text Box 923"/>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65</xdr:row>
      <xdr:rowOff>76200</xdr:rowOff>
    </xdr:from>
    <xdr:ext cx="104775" cy="228600"/>
    <xdr:sp fLocksText="0">
      <xdr:nvSpPr>
        <xdr:cNvPr id="921" name="Text Box 924"/>
        <xdr:cNvSpPr txBox="1">
          <a:spLocks noChangeArrowheads="1"/>
        </xdr:cNvSpPr>
      </xdr:nvSpPr>
      <xdr:spPr>
        <a:xfrm>
          <a:off x="31242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2" name="Text Box 925"/>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3" name="Text Box 926"/>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4" name="Text Box 927"/>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5" name="Text Box 928"/>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6" name="Text Box 929"/>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7" name="Text Box 930"/>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8" name="Text Box 931"/>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29" name="Text Box 932"/>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0" name="Text Box 933"/>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1" name="Text Box 934"/>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2" name="Text Box 935"/>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3" name="Text Box 936"/>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4" name="Text Box 937"/>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5" name="Text Box 938"/>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6" name="Text Box 939"/>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7" name="Text Box 940"/>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8" name="Text Box 941"/>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39" name="Text Box 942"/>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40" name="Text Box 943"/>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41" name="Text Box 944"/>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42" name="Text Box 945"/>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43" name="Text Box 946"/>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44" name="Text Box 947"/>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45" name="Text Box 948"/>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46" name="Text Box 949"/>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47" name="Text Box 950"/>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48" name="Text Box 951"/>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49" name="Text Box 952"/>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0" name="Text Box 953"/>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1" name="Text Box 954"/>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2" name="Text Box 955"/>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3" name="Text Box 956"/>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4" name="Text Box 957"/>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5" name="Text Box 958"/>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6" name="Text Box 959"/>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57" name="Text Box 960"/>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58" name="Text Box 961"/>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59" name="Text Box 962"/>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60" name="Text Box 963"/>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65</xdr:row>
      <xdr:rowOff>76200</xdr:rowOff>
    </xdr:from>
    <xdr:ext cx="104775" cy="228600"/>
    <xdr:sp fLocksText="0">
      <xdr:nvSpPr>
        <xdr:cNvPr id="961" name="Text Box 964"/>
        <xdr:cNvSpPr txBox="1">
          <a:spLocks noChangeArrowheads="1"/>
        </xdr:cNvSpPr>
      </xdr:nvSpPr>
      <xdr:spPr>
        <a:xfrm>
          <a:off x="21336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2" name="Text Box 965"/>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3" name="Text Box 966"/>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4" name="Text Box 967"/>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5" name="Text Box 968"/>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6" name="Text Box 969"/>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7" name="Text Box 970"/>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8" name="Text Box 971"/>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104775" cy="228600"/>
    <xdr:sp fLocksText="0">
      <xdr:nvSpPr>
        <xdr:cNvPr id="969" name="Text Box 972"/>
        <xdr:cNvSpPr txBox="1">
          <a:spLocks noChangeArrowheads="1"/>
        </xdr:cNvSpPr>
      </xdr:nvSpPr>
      <xdr:spPr>
        <a:xfrm>
          <a:off x="11430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0" name="Text Box 973"/>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1" name="Text Box 974"/>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2" name="Text Box 975"/>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3" name="Text Box 976"/>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4" name="Text Box 977"/>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5" name="Text Box 978"/>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6" name="Text Box 979"/>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7" name="Text Box 980"/>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8" name="Text Box 981"/>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79" name="Text Box 982"/>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0" name="Text Box 983"/>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1" name="Text Box 984"/>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2" name="Text Box 985"/>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3" name="Text Box 986"/>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4" name="Text Box 987"/>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5" name="Text Box 988"/>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6" name="Text Box 989"/>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7" name="Text Box 990"/>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8" name="Text Box 991"/>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65</xdr:row>
      <xdr:rowOff>76200</xdr:rowOff>
    </xdr:from>
    <xdr:ext cx="104775" cy="228600"/>
    <xdr:sp fLocksText="0">
      <xdr:nvSpPr>
        <xdr:cNvPr id="989" name="Text Box 992"/>
        <xdr:cNvSpPr txBox="1">
          <a:spLocks noChangeArrowheads="1"/>
        </xdr:cNvSpPr>
      </xdr:nvSpPr>
      <xdr:spPr>
        <a:xfrm>
          <a:off x="647700" y="15316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63</xdr:row>
      <xdr:rowOff>76200</xdr:rowOff>
    </xdr:from>
    <xdr:ext cx="104775" cy="228600"/>
    <xdr:sp fLocksText="0">
      <xdr:nvSpPr>
        <xdr:cNvPr id="990" name="Text Box 993"/>
        <xdr:cNvSpPr txBox="1">
          <a:spLocks noChangeArrowheads="1"/>
        </xdr:cNvSpPr>
      </xdr:nvSpPr>
      <xdr:spPr>
        <a:xfrm>
          <a:off x="6477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63</xdr:row>
      <xdr:rowOff>76200</xdr:rowOff>
    </xdr:from>
    <xdr:ext cx="104775" cy="228600"/>
    <xdr:sp fLocksText="0">
      <xdr:nvSpPr>
        <xdr:cNvPr id="991" name="Text Box 994"/>
        <xdr:cNvSpPr txBox="1">
          <a:spLocks noChangeArrowheads="1"/>
        </xdr:cNvSpPr>
      </xdr:nvSpPr>
      <xdr:spPr>
        <a:xfrm>
          <a:off x="6477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63</xdr:row>
      <xdr:rowOff>76200</xdr:rowOff>
    </xdr:from>
    <xdr:ext cx="104775" cy="228600"/>
    <xdr:sp fLocksText="0">
      <xdr:nvSpPr>
        <xdr:cNvPr id="992" name="Text Box 995"/>
        <xdr:cNvSpPr txBox="1">
          <a:spLocks noChangeArrowheads="1"/>
        </xdr:cNvSpPr>
      </xdr:nvSpPr>
      <xdr:spPr>
        <a:xfrm>
          <a:off x="6477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63</xdr:row>
      <xdr:rowOff>76200</xdr:rowOff>
    </xdr:from>
    <xdr:ext cx="104775" cy="228600"/>
    <xdr:sp fLocksText="0">
      <xdr:nvSpPr>
        <xdr:cNvPr id="993" name="Text Box 996"/>
        <xdr:cNvSpPr txBox="1">
          <a:spLocks noChangeArrowheads="1"/>
        </xdr:cNvSpPr>
      </xdr:nvSpPr>
      <xdr:spPr>
        <a:xfrm>
          <a:off x="6477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104775" cy="228600"/>
    <xdr:sp fLocksText="0">
      <xdr:nvSpPr>
        <xdr:cNvPr id="994" name="Text Box 997"/>
        <xdr:cNvSpPr txBox="1">
          <a:spLocks noChangeArrowheads="1"/>
        </xdr:cNvSpPr>
      </xdr:nvSpPr>
      <xdr:spPr>
        <a:xfrm>
          <a:off x="11430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104775" cy="228600"/>
    <xdr:sp fLocksText="0">
      <xdr:nvSpPr>
        <xdr:cNvPr id="995" name="Text Box 998"/>
        <xdr:cNvSpPr txBox="1">
          <a:spLocks noChangeArrowheads="1"/>
        </xdr:cNvSpPr>
      </xdr:nvSpPr>
      <xdr:spPr>
        <a:xfrm>
          <a:off x="11430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104775" cy="228600"/>
    <xdr:sp fLocksText="0">
      <xdr:nvSpPr>
        <xdr:cNvPr id="996" name="Text Box 999"/>
        <xdr:cNvSpPr txBox="1">
          <a:spLocks noChangeArrowheads="1"/>
        </xdr:cNvSpPr>
      </xdr:nvSpPr>
      <xdr:spPr>
        <a:xfrm>
          <a:off x="11430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104775" cy="228600"/>
    <xdr:sp fLocksText="0">
      <xdr:nvSpPr>
        <xdr:cNvPr id="997" name="Text Box 1000"/>
        <xdr:cNvSpPr txBox="1">
          <a:spLocks noChangeArrowheads="1"/>
        </xdr:cNvSpPr>
      </xdr:nvSpPr>
      <xdr:spPr>
        <a:xfrm>
          <a:off x="11430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998" name="Text Box 1001"/>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999" name="Text Box 1002"/>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1000" name="Text Box 1003"/>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1001" name="Text Box 1004"/>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02" name="Text Box 1005"/>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03" name="Text Box 1006"/>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04" name="Text Box 1007"/>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05" name="Text Box 1008"/>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06" name="Text Box 1009"/>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07" name="Text Box 1010"/>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08" name="Text Box 1011"/>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09" name="Text Box 1012"/>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10" name="Text Box 1013"/>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11" name="Text Box 1014"/>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12" name="Text Box 1015"/>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13" name="Text Box 1016"/>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104775" cy="228600"/>
    <xdr:sp fLocksText="0">
      <xdr:nvSpPr>
        <xdr:cNvPr id="1014" name="Text Box 1017"/>
        <xdr:cNvSpPr txBox="1">
          <a:spLocks noChangeArrowheads="1"/>
        </xdr:cNvSpPr>
      </xdr:nvSpPr>
      <xdr:spPr>
        <a:xfrm>
          <a:off x="11430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104775" cy="228600"/>
    <xdr:sp fLocksText="0">
      <xdr:nvSpPr>
        <xdr:cNvPr id="1015" name="Text Box 1018"/>
        <xdr:cNvSpPr txBox="1">
          <a:spLocks noChangeArrowheads="1"/>
        </xdr:cNvSpPr>
      </xdr:nvSpPr>
      <xdr:spPr>
        <a:xfrm>
          <a:off x="11430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104775" cy="228600"/>
    <xdr:sp fLocksText="0">
      <xdr:nvSpPr>
        <xdr:cNvPr id="1016" name="Text Box 1019"/>
        <xdr:cNvSpPr txBox="1">
          <a:spLocks noChangeArrowheads="1"/>
        </xdr:cNvSpPr>
      </xdr:nvSpPr>
      <xdr:spPr>
        <a:xfrm>
          <a:off x="11430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1017" name="Text Box 1020"/>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1018" name="Text Box 1021"/>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1019" name="Text Box 1022"/>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104775" cy="228600"/>
    <xdr:sp fLocksText="0">
      <xdr:nvSpPr>
        <xdr:cNvPr id="1020" name="Text Box 1023"/>
        <xdr:cNvSpPr txBox="1">
          <a:spLocks noChangeArrowheads="1"/>
        </xdr:cNvSpPr>
      </xdr:nvSpPr>
      <xdr:spPr>
        <a:xfrm>
          <a:off x="16383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21" name="Text Box 1024"/>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22" name="Text Box 1025"/>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23" name="Text Box 1026"/>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63</xdr:row>
      <xdr:rowOff>76200</xdr:rowOff>
    </xdr:from>
    <xdr:ext cx="104775" cy="228600"/>
    <xdr:sp fLocksText="0">
      <xdr:nvSpPr>
        <xdr:cNvPr id="1024" name="Text Box 1027"/>
        <xdr:cNvSpPr txBox="1">
          <a:spLocks noChangeArrowheads="1"/>
        </xdr:cNvSpPr>
      </xdr:nvSpPr>
      <xdr:spPr>
        <a:xfrm>
          <a:off x="21336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25" name="Text Box 1028"/>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26" name="Text Box 1029"/>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27" name="Text Box 1030"/>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63</xdr:row>
      <xdr:rowOff>76200</xdr:rowOff>
    </xdr:from>
    <xdr:ext cx="104775" cy="228600"/>
    <xdr:sp fLocksText="0">
      <xdr:nvSpPr>
        <xdr:cNvPr id="1028" name="Text Box 1031"/>
        <xdr:cNvSpPr txBox="1">
          <a:spLocks noChangeArrowheads="1"/>
        </xdr:cNvSpPr>
      </xdr:nvSpPr>
      <xdr:spPr>
        <a:xfrm>
          <a:off x="26289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29" name="Text Box 1032"/>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30" name="Text Box 1033"/>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31" name="Text Box 1034"/>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63</xdr:row>
      <xdr:rowOff>76200</xdr:rowOff>
    </xdr:from>
    <xdr:ext cx="104775" cy="228600"/>
    <xdr:sp fLocksText="0">
      <xdr:nvSpPr>
        <xdr:cNvPr id="1032" name="Text Box 1035"/>
        <xdr:cNvSpPr txBox="1">
          <a:spLocks noChangeArrowheads="1"/>
        </xdr:cNvSpPr>
      </xdr:nvSpPr>
      <xdr:spPr>
        <a:xfrm>
          <a:off x="3124200" y="1476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76200</xdr:rowOff>
    </xdr:from>
    <xdr:ext cx="104775" cy="228600"/>
    <xdr:sp fLocksText="0">
      <xdr:nvSpPr>
        <xdr:cNvPr id="1033" name="Text Box 1036"/>
        <xdr:cNvSpPr txBox="1">
          <a:spLocks noChangeArrowheads="1"/>
        </xdr:cNvSpPr>
      </xdr:nvSpPr>
      <xdr:spPr>
        <a:xfrm>
          <a:off x="6477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76200</xdr:rowOff>
    </xdr:from>
    <xdr:ext cx="104775" cy="228600"/>
    <xdr:sp fLocksText="0">
      <xdr:nvSpPr>
        <xdr:cNvPr id="1034" name="Text Box 1037"/>
        <xdr:cNvSpPr txBox="1">
          <a:spLocks noChangeArrowheads="1"/>
        </xdr:cNvSpPr>
      </xdr:nvSpPr>
      <xdr:spPr>
        <a:xfrm>
          <a:off x="6477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76200</xdr:rowOff>
    </xdr:from>
    <xdr:ext cx="104775" cy="228600"/>
    <xdr:sp fLocksText="0">
      <xdr:nvSpPr>
        <xdr:cNvPr id="1035" name="Text Box 1038"/>
        <xdr:cNvSpPr txBox="1">
          <a:spLocks noChangeArrowheads="1"/>
        </xdr:cNvSpPr>
      </xdr:nvSpPr>
      <xdr:spPr>
        <a:xfrm>
          <a:off x="6477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57</xdr:row>
      <xdr:rowOff>76200</xdr:rowOff>
    </xdr:from>
    <xdr:ext cx="104775" cy="228600"/>
    <xdr:sp fLocksText="0">
      <xdr:nvSpPr>
        <xdr:cNvPr id="1036" name="Text Box 1039"/>
        <xdr:cNvSpPr txBox="1">
          <a:spLocks noChangeArrowheads="1"/>
        </xdr:cNvSpPr>
      </xdr:nvSpPr>
      <xdr:spPr>
        <a:xfrm>
          <a:off x="6477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104775" cy="228600"/>
    <xdr:sp fLocksText="0">
      <xdr:nvSpPr>
        <xdr:cNvPr id="1037" name="Text Box 1040"/>
        <xdr:cNvSpPr txBox="1">
          <a:spLocks noChangeArrowheads="1"/>
        </xdr:cNvSpPr>
      </xdr:nvSpPr>
      <xdr:spPr>
        <a:xfrm>
          <a:off x="11430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104775" cy="228600"/>
    <xdr:sp fLocksText="0">
      <xdr:nvSpPr>
        <xdr:cNvPr id="1038" name="Text Box 1041"/>
        <xdr:cNvSpPr txBox="1">
          <a:spLocks noChangeArrowheads="1"/>
        </xdr:cNvSpPr>
      </xdr:nvSpPr>
      <xdr:spPr>
        <a:xfrm>
          <a:off x="11430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104775" cy="228600"/>
    <xdr:sp fLocksText="0">
      <xdr:nvSpPr>
        <xdr:cNvPr id="1039" name="Text Box 1042"/>
        <xdr:cNvSpPr txBox="1">
          <a:spLocks noChangeArrowheads="1"/>
        </xdr:cNvSpPr>
      </xdr:nvSpPr>
      <xdr:spPr>
        <a:xfrm>
          <a:off x="11430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104775" cy="228600"/>
    <xdr:sp fLocksText="0">
      <xdr:nvSpPr>
        <xdr:cNvPr id="1040" name="Text Box 1043"/>
        <xdr:cNvSpPr txBox="1">
          <a:spLocks noChangeArrowheads="1"/>
        </xdr:cNvSpPr>
      </xdr:nvSpPr>
      <xdr:spPr>
        <a:xfrm>
          <a:off x="11430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41" name="Text Box 1044"/>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42" name="Text Box 1045"/>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43" name="Text Box 1046"/>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44" name="Text Box 1047"/>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45" name="Text Box 1048"/>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46" name="Text Box 1049"/>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47" name="Text Box 1050"/>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48" name="Text Box 1051"/>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49" name="Text Box 1052"/>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50" name="Text Box 1053"/>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51" name="Text Box 1054"/>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52" name="Text Box 1055"/>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53" name="Text Box 1056"/>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54" name="Text Box 1057"/>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55" name="Text Box 1058"/>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56" name="Text Box 1059"/>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104775" cy="228600"/>
    <xdr:sp fLocksText="0">
      <xdr:nvSpPr>
        <xdr:cNvPr id="1057" name="Text Box 1060"/>
        <xdr:cNvSpPr txBox="1">
          <a:spLocks noChangeArrowheads="1"/>
        </xdr:cNvSpPr>
      </xdr:nvSpPr>
      <xdr:spPr>
        <a:xfrm>
          <a:off x="11430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104775" cy="228600"/>
    <xdr:sp fLocksText="0">
      <xdr:nvSpPr>
        <xdr:cNvPr id="1058" name="Text Box 1061"/>
        <xdr:cNvSpPr txBox="1">
          <a:spLocks noChangeArrowheads="1"/>
        </xdr:cNvSpPr>
      </xdr:nvSpPr>
      <xdr:spPr>
        <a:xfrm>
          <a:off x="11430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104775" cy="228600"/>
    <xdr:sp fLocksText="0">
      <xdr:nvSpPr>
        <xdr:cNvPr id="1059" name="Text Box 1062"/>
        <xdr:cNvSpPr txBox="1">
          <a:spLocks noChangeArrowheads="1"/>
        </xdr:cNvSpPr>
      </xdr:nvSpPr>
      <xdr:spPr>
        <a:xfrm>
          <a:off x="11430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60" name="Text Box 1063"/>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61" name="Text Box 1064"/>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62" name="Text Box 1065"/>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104775" cy="228600"/>
    <xdr:sp fLocksText="0">
      <xdr:nvSpPr>
        <xdr:cNvPr id="1063" name="Text Box 1066"/>
        <xdr:cNvSpPr txBox="1">
          <a:spLocks noChangeArrowheads="1"/>
        </xdr:cNvSpPr>
      </xdr:nvSpPr>
      <xdr:spPr>
        <a:xfrm>
          <a:off x="16383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64" name="Text Box 1067"/>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65" name="Text Box 1068"/>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66" name="Text Box 1069"/>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57</xdr:row>
      <xdr:rowOff>76200</xdr:rowOff>
    </xdr:from>
    <xdr:ext cx="104775" cy="228600"/>
    <xdr:sp fLocksText="0">
      <xdr:nvSpPr>
        <xdr:cNvPr id="1067" name="Text Box 1070"/>
        <xdr:cNvSpPr txBox="1">
          <a:spLocks noChangeArrowheads="1"/>
        </xdr:cNvSpPr>
      </xdr:nvSpPr>
      <xdr:spPr>
        <a:xfrm>
          <a:off x="21336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68" name="Text Box 1071"/>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69" name="Text Box 1072"/>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70" name="Text Box 1073"/>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57</xdr:row>
      <xdr:rowOff>76200</xdr:rowOff>
    </xdr:from>
    <xdr:ext cx="104775" cy="228600"/>
    <xdr:sp fLocksText="0">
      <xdr:nvSpPr>
        <xdr:cNvPr id="1071" name="Text Box 1074"/>
        <xdr:cNvSpPr txBox="1">
          <a:spLocks noChangeArrowheads="1"/>
        </xdr:cNvSpPr>
      </xdr:nvSpPr>
      <xdr:spPr>
        <a:xfrm>
          <a:off x="26289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72" name="Text Box 1075"/>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73" name="Text Box 1076"/>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74" name="Text Box 1077"/>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57</xdr:row>
      <xdr:rowOff>76200</xdr:rowOff>
    </xdr:from>
    <xdr:ext cx="104775" cy="228600"/>
    <xdr:sp fLocksText="0">
      <xdr:nvSpPr>
        <xdr:cNvPr id="1075" name="Text Box 1078"/>
        <xdr:cNvSpPr txBox="1">
          <a:spLocks noChangeArrowheads="1"/>
        </xdr:cNvSpPr>
      </xdr:nvSpPr>
      <xdr:spPr>
        <a:xfrm>
          <a:off x="3124200" y="1310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59</xdr:row>
      <xdr:rowOff>76200</xdr:rowOff>
    </xdr:from>
    <xdr:ext cx="104775" cy="228600"/>
    <xdr:sp fLocksText="0">
      <xdr:nvSpPr>
        <xdr:cNvPr id="1076" name="Text Box 1079"/>
        <xdr:cNvSpPr txBox="1">
          <a:spLocks noChangeArrowheads="1"/>
        </xdr:cNvSpPr>
      </xdr:nvSpPr>
      <xdr:spPr>
        <a:xfrm>
          <a:off x="6477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59</xdr:row>
      <xdr:rowOff>76200</xdr:rowOff>
    </xdr:from>
    <xdr:ext cx="104775" cy="228600"/>
    <xdr:sp fLocksText="0">
      <xdr:nvSpPr>
        <xdr:cNvPr id="1077" name="Text Box 1080"/>
        <xdr:cNvSpPr txBox="1">
          <a:spLocks noChangeArrowheads="1"/>
        </xdr:cNvSpPr>
      </xdr:nvSpPr>
      <xdr:spPr>
        <a:xfrm>
          <a:off x="6477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59</xdr:row>
      <xdr:rowOff>76200</xdr:rowOff>
    </xdr:from>
    <xdr:ext cx="104775" cy="228600"/>
    <xdr:sp fLocksText="0">
      <xdr:nvSpPr>
        <xdr:cNvPr id="1078" name="Text Box 1081"/>
        <xdr:cNvSpPr txBox="1">
          <a:spLocks noChangeArrowheads="1"/>
        </xdr:cNvSpPr>
      </xdr:nvSpPr>
      <xdr:spPr>
        <a:xfrm>
          <a:off x="6477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59</xdr:row>
      <xdr:rowOff>76200</xdr:rowOff>
    </xdr:from>
    <xdr:ext cx="104775" cy="228600"/>
    <xdr:sp fLocksText="0">
      <xdr:nvSpPr>
        <xdr:cNvPr id="1079" name="Text Box 1082"/>
        <xdr:cNvSpPr txBox="1">
          <a:spLocks noChangeArrowheads="1"/>
        </xdr:cNvSpPr>
      </xdr:nvSpPr>
      <xdr:spPr>
        <a:xfrm>
          <a:off x="6477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104775" cy="228600"/>
    <xdr:sp fLocksText="0">
      <xdr:nvSpPr>
        <xdr:cNvPr id="1080" name="Text Box 1083"/>
        <xdr:cNvSpPr txBox="1">
          <a:spLocks noChangeArrowheads="1"/>
        </xdr:cNvSpPr>
      </xdr:nvSpPr>
      <xdr:spPr>
        <a:xfrm>
          <a:off x="11430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104775" cy="228600"/>
    <xdr:sp fLocksText="0">
      <xdr:nvSpPr>
        <xdr:cNvPr id="1081" name="Text Box 1084"/>
        <xdr:cNvSpPr txBox="1">
          <a:spLocks noChangeArrowheads="1"/>
        </xdr:cNvSpPr>
      </xdr:nvSpPr>
      <xdr:spPr>
        <a:xfrm>
          <a:off x="11430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104775" cy="228600"/>
    <xdr:sp fLocksText="0">
      <xdr:nvSpPr>
        <xdr:cNvPr id="1082" name="Text Box 1085"/>
        <xdr:cNvSpPr txBox="1">
          <a:spLocks noChangeArrowheads="1"/>
        </xdr:cNvSpPr>
      </xdr:nvSpPr>
      <xdr:spPr>
        <a:xfrm>
          <a:off x="11430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104775" cy="228600"/>
    <xdr:sp fLocksText="0">
      <xdr:nvSpPr>
        <xdr:cNvPr id="1083" name="Text Box 1086"/>
        <xdr:cNvSpPr txBox="1">
          <a:spLocks noChangeArrowheads="1"/>
        </xdr:cNvSpPr>
      </xdr:nvSpPr>
      <xdr:spPr>
        <a:xfrm>
          <a:off x="11430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084" name="Text Box 1087"/>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085" name="Text Box 1088"/>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086" name="Text Box 1089"/>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087" name="Text Box 1090"/>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088" name="Text Box 1091"/>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089" name="Text Box 1092"/>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090" name="Text Box 1093"/>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091" name="Text Box 1094"/>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092" name="Text Box 1095"/>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093" name="Text Box 1096"/>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094" name="Text Box 1097"/>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095" name="Text Box 1098"/>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096" name="Text Box 1099"/>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097" name="Text Box 1100"/>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098" name="Text Box 1101"/>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099" name="Text Box 1102"/>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104775" cy="228600"/>
    <xdr:sp fLocksText="0">
      <xdr:nvSpPr>
        <xdr:cNvPr id="1100" name="Text Box 1103"/>
        <xdr:cNvSpPr txBox="1">
          <a:spLocks noChangeArrowheads="1"/>
        </xdr:cNvSpPr>
      </xdr:nvSpPr>
      <xdr:spPr>
        <a:xfrm>
          <a:off x="11430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104775" cy="228600"/>
    <xdr:sp fLocksText="0">
      <xdr:nvSpPr>
        <xdr:cNvPr id="1101" name="Text Box 1104"/>
        <xdr:cNvSpPr txBox="1">
          <a:spLocks noChangeArrowheads="1"/>
        </xdr:cNvSpPr>
      </xdr:nvSpPr>
      <xdr:spPr>
        <a:xfrm>
          <a:off x="11430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104775" cy="228600"/>
    <xdr:sp fLocksText="0">
      <xdr:nvSpPr>
        <xdr:cNvPr id="1102" name="Text Box 1105"/>
        <xdr:cNvSpPr txBox="1">
          <a:spLocks noChangeArrowheads="1"/>
        </xdr:cNvSpPr>
      </xdr:nvSpPr>
      <xdr:spPr>
        <a:xfrm>
          <a:off x="11430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103" name="Text Box 1106"/>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104" name="Text Box 1107"/>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105" name="Text Box 1108"/>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104775" cy="228600"/>
    <xdr:sp fLocksText="0">
      <xdr:nvSpPr>
        <xdr:cNvPr id="1106" name="Text Box 1109"/>
        <xdr:cNvSpPr txBox="1">
          <a:spLocks noChangeArrowheads="1"/>
        </xdr:cNvSpPr>
      </xdr:nvSpPr>
      <xdr:spPr>
        <a:xfrm>
          <a:off x="16383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107" name="Text Box 1110"/>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108" name="Text Box 1111"/>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109" name="Text Box 1112"/>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59</xdr:row>
      <xdr:rowOff>76200</xdr:rowOff>
    </xdr:from>
    <xdr:ext cx="104775" cy="228600"/>
    <xdr:sp fLocksText="0">
      <xdr:nvSpPr>
        <xdr:cNvPr id="1110" name="Text Box 1113"/>
        <xdr:cNvSpPr txBox="1">
          <a:spLocks noChangeArrowheads="1"/>
        </xdr:cNvSpPr>
      </xdr:nvSpPr>
      <xdr:spPr>
        <a:xfrm>
          <a:off x="21336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111" name="Text Box 1114"/>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112" name="Text Box 1115"/>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113" name="Text Box 1116"/>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59</xdr:row>
      <xdr:rowOff>76200</xdr:rowOff>
    </xdr:from>
    <xdr:ext cx="104775" cy="228600"/>
    <xdr:sp fLocksText="0">
      <xdr:nvSpPr>
        <xdr:cNvPr id="1114" name="Text Box 1117"/>
        <xdr:cNvSpPr txBox="1">
          <a:spLocks noChangeArrowheads="1"/>
        </xdr:cNvSpPr>
      </xdr:nvSpPr>
      <xdr:spPr>
        <a:xfrm>
          <a:off x="26289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115" name="Text Box 1118"/>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116" name="Text Box 1119"/>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117" name="Text Box 1120"/>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59</xdr:row>
      <xdr:rowOff>76200</xdr:rowOff>
    </xdr:from>
    <xdr:ext cx="104775" cy="228600"/>
    <xdr:sp fLocksText="0">
      <xdr:nvSpPr>
        <xdr:cNvPr id="1118" name="Text Box 1121"/>
        <xdr:cNvSpPr txBox="1">
          <a:spLocks noChangeArrowheads="1"/>
        </xdr:cNvSpPr>
      </xdr:nvSpPr>
      <xdr:spPr>
        <a:xfrm>
          <a:off x="3124200" y="13658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61</xdr:row>
      <xdr:rowOff>76200</xdr:rowOff>
    </xdr:from>
    <xdr:ext cx="104775" cy="228600"/>
    <xdr:sp fLocksText="0">
      <xdr:nvSpPr>
        <xdr:cNvPr id="1119" name="Text Box 1122"/>
        <xdr:cNvSpPr txBox="1">
          <a:spLocks noChangeArrowheads="1"/>
        </xdr:cNvSpPr>
      </xdr:nvSpPr>
      <xdr:spPr>
        <a:xfrm>
          <a:off x="6477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61</xdr:row>
      <xdr:rowOff>76200</xdr:rowOff>
    </xdr:from>
    <xdr:ext cx="104775" cy="228600"/>
    <xdr:sp fLocksText="0">
      <xdr:nvSpPr>
        <xdr:cNvPr id="1120" name="Text Box 1123"/>
        <xdr:cNvSpPr txBox="1">
          <a:spLocks noChangeArrowheads="1"/>
        </xdr:cNvSpPr>
      </xdr:nvSpPr>
      <xdr:spPr>
        <a:xfrm>
          <a:off x="6477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61</xdr:row>
      <xdr:rowOff>76200</xdr:rowOff>
    </xdr:from>
    <xdr:ext cx="104775" cy="228600"/>
    <xdr:sp fLocksText="0">
      <xdr:nvSpPr>
        <xdr:cNvPr id="1121" name="Text Box 1124"/>
        <xdr:cNvSpPr txBox="1">
          <a:spLocks noChangeArrowheads="1"/>
        </xdr:cNvSpPr>
      </xdr:nvSpPr>
      <xdr:spPr>
        <a:xfrm>
          <a:off x="6477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61</xdr:row>
      <xdr:rowOff>76200</xdr:rowOff>
    </xdr:from>
    <xdr:ext cx="104775" cy="228600"/>
    <xdr:sp fLocksText="0">
      <xdr:nvSpPr>
        <xdr:cNvPr id="1122" name="Text Box 1125"/>
        <xdr:cNvSpPr txBox="1">
          <a:spLocks noChangeArrowheads="1"/>
        </xdr:cNvSpPr>
      </xdr:nvSpPr>
      <xdr:spPr>
        <a:xfrm>
          <a:off x="6477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104775" cy="228600"/>
    <xdr:sp fLocksText="0">
      <xdr:nvSpPr>
        <xdr:cNvPr id="1123" name="Text Box 1126"/>
        <xdr:cNvSpPr txBox="1">
          <a:spLocks noChangeArrowheads="1"/>
        </xdr:cNvSpPr>
      </xdr:nvSpPr>
      <xdr:spPr>
        <a:xfrm>
          <a:off x="11430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104775" cy="228600"/>
    <xdr:sp fLocksText="0">
      <xdr:nvSpPr>
        <xdr:cNvPr id="1124" name="Text Box 1127"/>
        <xdr:cNvSpPr txBox="1">
          <a:spLocks noChangeArrowheads="1"/>
        </xdr:cNvSpPr>
      </xdr:nvSpPr>
      <xdr:spPr>
        <a:xfrm>
          <a:off x="11430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104775" cy="228600"/>
    <xdr:sp fLocksText="0">
      <xdr:nvSpPr>
        <xdr:cNvPr id="1125" name="Text Box 1128"/>
        <xdr:cNvSpPr txBox="1">
          <a:spLocks noChangeArrowheads="1"/>
        </xdr:cNvSpPr>
      </xdr:nvSpPr>
      <xdr:spPr>
        <a:xfrm>
          <a:off x="11430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104775" cy="228600"/>
    <xdr:sp fLocksText="0">
      <xdr:nvSpPr>
        <xdr:cNvPr id="1126" name="Text Box 1129"/>
        <xdr:cNvSpPr txBox="1">
          <a:spLocks noChangeArrowheads="1"/>
        </xdr:cNvSpPr>
      </xdr:nvSpPr>
      <xdr:spPr>
        <a:xfrm>
          <a:off x="11430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27" name="Text Box 1130"/>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28" name="Text Box 1131"/>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29" name="Text Box 1132"/>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30" name="Text Box 1133"/>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31" name="Text Box 1134"/>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32" name="Text Box 1135"/>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33" name="Text Box 1136"/>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34" name="Text Box 1137"/>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35" name="Text Box 1138"/>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36" name="Text Box 1139"/>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37" name="Text Box 1140"/>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38" name="Text Box 1141"/>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39" name="Text Box 1142"/>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40" name="Text Box 1143"/>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41" name="Text Box 1144"/>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42" name="Text Box 1145"/>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104775" cy="228600"/>
    <xdr:sp fLocksText="0">
      <xdr:nvSpPr>
        <xdr:cNvPr id="1143" name="Text Box 1146"/>
        <xdr:cNvSpPr txBox="1">
          <a:spLocks noChangeArrowheads="1"/>
        </xdr:cNvSpPr>
      </xdr:nvSpPr>
      <xdr:spPr>
        <a:xfrm>
          <a:off x="11430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104775" cy="228600"/>
    <xdr:sp fLocksText="0">
      <xdr:nvSpPr>
        <xdr:cNvPr id="1144" name="Text Box 1147"/>
        <xdr:cNvSpPr txBox="1">
          <a:spLocks noChangeArrowheads="1"/>
        </xdr:cNvSpPr>
      </xdr:nvSpPr>
      <xdr:spPr>
        <a:xfrm>
          <a:off x="11430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104775" cy="228600"/>
    <xdr:sp fLocksText="0">
      <xdr:nvSpPr>
        <xdr:cNvPr id="1145" name="Text Box 1148"/>
        <xdr:cNvSpPr txBox="1">
          <a:spLocks noChangeArrowheads="1"/>
        </xdr:cNvSpPr>
      </xdr:nvSpPr>
      <xdr:spPr>
        <a:xfrm>
          <a:off x="11430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46" name="Text Box 1149"/>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47" name="Text Box 1150"/>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48" name="Text Box 1151"/>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104775" cy="228600"/>
    <xdr:sp fLocksText="0">
      <xdr:nvSpPr>
        <xdr:cNvPr id="1149" name="Text Box 1152"/>
        <xdr:cNvSpPr txBox="1">
          <a:spLocks noChangeArrowheads="1"/>
        </xdr:cNvSpPr>
      </xdr:nvSpPr>
      <xdr:spPr>
        <a:xfrm>
          <a:off x="16383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50" name="Text Box 1153"/>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51" name="Text Box 1154"/>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52" name="Text Box 1155"/>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61</xdr:row>
      <xdr:rowOff>76200</xdr:rowOff>
    </xdr:from>
    <xdr:ext cx="104775" cy="228600"/>
    <xdr:sp fLocksText="0">
      <xdr:nvSpPr>
        <xdr:cNvPr id="1153" name="Text Box 1156"/>
        <xdr:cNvSpPr txBox="1">
          <a:spLocks noChangeArrowheads="1"/>
        </xdr:cNvSpPr>
      </xdr:nvSpPr>
      <xdr:spPr>
        <a:xfrm>
          <a:off x="21336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54" name="Text Box 1157"/>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55" name="Text Box 1158"/>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56" name="Text Box 1159"/>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61</xdr:row>
      <xdr:rowOff>76200</xdr:rowOff>
    </xdr:from>
    <xdr:ext cx="104775" cy="228600"/>
    <xdr:sp fLocksText="0">
      <xdr:nvSpPr>
        <xdr:cNvPr id="1157" name="Text Box 1160"/>
        <xdr:cNvSpPr txBox="1">
          <a:spLocks noChangeArrowheads="1"/>
        </xdr:cNvSpPr>
      </xdr:nvSpPr>
      <xdr:spPr>
        <a:xfrm>
          <a:off x="26289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58" name="Text Box 1161"/>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59" name="Text Box 1162"/>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60" name="Text Box 1163"/>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61</xdr:row>
      <xdr:rowOff>76200</xdr:rowOff>
    </xdr:from>
    <xdr:ext cx="104775" cy="228600"/>
    <xdr:sp fLocksText="0">
      <xdr:nvSpPr>
        <xdr:cNvPr id="1161" name="Text Box 1164"/>
        <xdr:cNvSpPr txBox="1">
          <a:spLocks noChangeArrowheads="1"/>
        </xdr:cNvSpPr>
      </xdr:nvSpPr>
      <xdr:spPr>
        <a:xfrm>
          <a:off x="3124200" y="14211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xcelfan.com/USHolidayWorkdays\050911JapanHolidayWorkDaysS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bm-l6hg5a91pso\my%20documents\WINDOWS\Temporary%20Internet%20Files\Content.IE5\DZLGK9V8\9901OAPcalendar\9807&#24046;&#36796;&#21360;&#21047;&#12450;&#12489;&#12524;&#124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WINDOWS\Temporary%20Internet%20Files\Content.IE5\DZLGK9V8\9901OAPcalendar\9807&#24046;&#36796;&#21360;&#21047;&#12450;&#12489;&#12524;&#124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dm-nts1\hgt-adm\MSOFFICE\EXCEL\L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26376;&#27425;&#65434;&#65422;&#65439;&#65392;&#65412;\44&#26399;\44&#26399;7&#26376;&#242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XLS\MN\L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kenmzoka.bizland.com/0311Nikkei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adm-nts1\hgt-adm\WINDOWS\TEMP\9807&#24046;&#36796;&#21360;&#21047;&#12450;&#12489;&#12524;&#1247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adm-nts1\hgt-adm\WINDOWS\TEMP\&#25505;&#29992;\&#25505;&#2999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 Days &amp; Holiday"/>
      <sheetName val="B129=TODAY()"/>
      <sheetName val="Date in cell B12"/>
      <sheetName val="Date by Week Number"/>
      <sheetName val="Date by Week Number1"/>
      <sheetName val="WeekNumber2"/>
      <sheetName val="WeeklyView "/>
      <sheetName val="Holiday"/>
      <sheetName val="HowTo"/>
      <sheetName val="EasterDates"/>
    </sheetNames>
    <sheetDataSet>
      <sheetData sheetId="2">
        <row r="12">
          <cell r="B12">
            <v>42339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集計"/>
    </sheetNames>
    <sheetDataSet>
      <sheetData sheetId="0">
        <row r="1">
          <cell r="A1" t="str">
            <v>HIDUKE</v>
          </cell>
          <cell r="B1" t="str">
            <v>44期　5月度</v>
          </cell>
        </row>
        <row r="2">
          <cell r="A2" t="str">
            <v>JIGYO</v>
          </cell>
          <cell r="B2" t="str">
            <v>＜ＨＧＴ＞</v>
          </cell>
        </row>
        <row r="3">
          <cell r="A3" t="str">
            <v>SUBT_J</v>
          </cell>
          <cell r="B3" t="str">
            <v>上期実績</v>
          </cell>
        </row>
        <row r="4">
          <cell r="A4" t="str">
            <v>SUBT_Y</v>
          </cell>
          <cell r="B4" t="str">
            <v>上期実行予算</v>
          </cell>
        </row>
        <row r="6">
          <cell r="A6" t="str">
            <v>A1------M</v>
          </cell>
          <cell r="B6" t="str">
            <v>受託研究料</v>
          </cell>
          <cell r="C6" t="str">
            <v> </v>
          </cell>
          <cell r="D6">
            <v>0</v>
          </cell>
          <cell r="E6">
            <v>0</v>
          </cell>
        </row>
        <row r="7">
          <cell r="A7" t="str">
            <v>A2------M</v>
          </cell>
          <cell r="B7" t="str">
            <v>費用</v>
          </cell>
          <cell r="C7" t="str">
            <v> </v>
          </cell>
          <cell r="D7">
            <v>0</v>
          </cell>
          <cell r="E7">
            <v>0</v>
          </cell>
        </row>
        <row r="8">
          <cell r="A8" t="str">
            <v>A201----M</v>
          </cell>
          <cell r="B8" t="str">
            <v>直接費</v>
          </cell>
          <cell r="C8" t="str">
            <v> </v>
          </cell>
          <cell r="D8">
            <v>0</v>
          </cell>
          <cell r="E8">
            <v>0</v>
          </cell>
        </row>
        <row r="9">
          <cell r="A9" t="str">
            <v>A20101--M</v>
          </cell>
          <cell r="B9" t="str">
            <v>材料費</v>
          </cell>
          <cell r="C9" t="str">
            <v> </v>
          </cell>
          <cell r="D9">
            <v>0</v>
          </cell>
          <cell r="E9">
            <v>0</v>
          </cell>
        </row>
        <row r="10">
          <cell r="A10" t="str">
            <v>A2010101J</v>
          </cell>
          <cell r="B10" t="str">
            <v>-</v>
          </cell>
          <cell r="C10" t="str">
            <v> </v>
          </cell>
          <cell r="D10">
            <v>1357798458</v>
          </cell>
          <cell r="E10">
            <v>3036569718</v>
          </cell>
        </row>
        <row r="11">
          <cell r="A11" t="str">
            <v>A2010101M</v>
          </cell>
          <cell r="B11" t="str">
            <v>購入部品費</v>
          </cell>
          <cell r="C11" t="str">
            <v> </v>
          </cell>
          <cell r="D11">
            <v>0</v>
          </cell>
          <cell r="E11">
            <v>0</v>
          </cell>
        </row>
        <row r="12">
          <cell r="A12" t="str">
            <v>A2010102J</v>
          </cell>
          <cell r="B12" t="str">
            <v>-</v>
          </cell>
          <cell r="C12" t="str">
            <v> </v>
          </cell>
          <cell r="D12">
            <v>32396415</v>
          </cell>
          <cell r="E12">
            <v>37022300</v>
          </cell>
        </row>
        <row r="13">
          <cell r="A13" t="str">
            <v>A2010102M</v>
          </cell>
          <cell r="B13" t="str">
            <v>委託研究費（Ｈ Gr）</v>
          </cell>
          <cell r="C13" t="str">
            <v> </v>
          </cell>
          <cell r="D13">
            <v>0</v>
          </cell>
          <cell r="E13">
            <v>0</v>
          </cell>
        </row>
        <row r="14">
          <cell r="A14" t="str">
            <v>A2010103M</v>
          </cell>
          <cell r="B14" t="str">
            <v>委託研究費（ＨＲＡ）</v>
          </cell>
          <cell r="C14" t="str">
            <v> </v>
          </cell>
          <cell r="D14">
            <v>0</v>
          </cell>
          <cell r="E14">
            <v>0</v>
          </cell>
        </row>
        <row r="15">
          <cell r="A15" t="str">
            <v>A2010104M</v>
          </cell>
          <cell r="B15" t="str">
            <v>委託研究費（ＨＲＥ－Ｇ）</v>
          </cell>
          <cell r="C15" t="str">
            <v> </v>
          </cell>
          <cell r="D15">
            <v>0</v>
          </cell>
          <cell r="E15">
            <v>0</v>
          </cell>
        </row>
        <row r="16">
          <cell r="A16" t="str">
            <v>A2010105M</v>
          </cell>
          <cell r="B16" t="str">
            <v>委託研究費（ＨＲＥ－ＵＫ）</v>
          </cell>
          <cell r="C16" t="str">
            <v> </v>
          </cell>
          <cell r="D16">
            <v>0</v>
          </cell>
          <cell r="E16">
            <v>0</v>
          </cell>
        </row>
        <row r="17">
          <cell r="A17" t="str">
            <v>A2010106J</v>
          </cell>
          <cell r="B17" t="str">
            <v>-</v>
          </cell>
          <cell r="C17" t="str">
            <v> </v>
          </cell>
          <cell r="D17">
            <v>7744826</v>
          </cell>
          <cell r="E17">
            <v>177952505</v>
          </cell>
        </row>
        <row r="18">
          <cell r="A18" t="str">
            <v>A2010106M</v>
          </cell>
          <cell r="B18" t="str">
            <v>委託研究費（他）</v>
          </cell>
          <cell r="C18" t="str">
            <v> </v>
          </cell>
          <cell r="D18">
            <v>0</v>
          </cell>
          <cell r="E18">
            <v>0</v>
          </cell>
        </row>
        <row r="19">
          <cell r="A19" t="str">
            <v>A2010107J</v>
          </cell>
          <cell r="B19" t="str">
            <v>-</v>
          </cell>
          <cell r="C19" t="str">
            <v> </v>
          </cell>
          <cell r="D19">
            <v>98993717</v>
          </cell>
          <cell r="E19">
            <v>272989537</v>
          </cell>
        </row>
        <row r="20">
          <cell r="A20" t="str">
            <v>A2010107M</v>
          </cell>
          <cell r="B20" t="str">
            <v>テスト車輌費</v>
          </cell>
          <cell r="C20" t="str">
            <v> </v>
          </cell>
          <cell r="D20">
            <v>0</v>
          </cell>
          <cell r="E20">
            <v>0</v>
          </cell>
        </row>
        <row r="21">
          <cell r="A21" t="str">
            <v>A2010108J</v>
          </cell>
          <cell r="B21" t="str">
            <v>-</v>
          </cell>
          <cell r="C21" t="str">
            <v> </v>
          </cell>
          <cell r="D21">
            <v>29368578</v>
          </cell>
          <cell r="E21">
            <v>49646626</v>
          </cell>
        </row>
        <row r="22">
          <cell r="A22" t="str">
            <v>A2010108M</v>
          </cell>
          <cell r="B22" t="str">
            <v>その他材料費</v>
          </cell>
          <cell r="C22" t="str">
            <v> </v>
          </cell>
          <cell r="D22">
            <v>0</v>
          </cell>
          <cell r="E22">
            <v>0</v>
          </cell>
        </row>
        <row r="23">
          <cell r="A23" t="str">
            <v>A2010109J</v>
          </cell>
          <cell r="B23" t="str">
            <v>_</v>
          </cell>
          <cell r="C23" t="str">
            <v> </v>
          </cell>
          <cell r="D23">
            <v>-250722944</v>
          </cell>
          <cell r="E23">
            <v>-228653744</v>
          </cell>
        </row>
        <row r="24">
          <cell r="A24" t="str">
            <v>A2010109M</v>
          </cell>
          <cell r="B24" t="str">
            <v>材料費（Ｒ）</v>
          </cell>
          <cell r="C24" t="str">
            <v> </v>
          </cell>
          <cell r="D24">
            <v>0</v>
          </cell>
          <cell r="E24">
            <v>0</v>
          </cell>
        </row>
        <row r="25">
          <cell r="A25" t="str">
            <v>A20102--M</v>
          </cell>
          <cell r="B25" t="str">
            <v>テスト関係費</v>
          </cell>
          <cell r="C25" t="str">
            <v> </v>
          </cell>
          <cell r="D25">
            <v>0</v>
          </cell>
          <cell r="E25">
            <v>0</v>
          </cell>
        </row>
        <row r="26">
          <cell r="A26" t="str">
            <v>A2010201J</v>
          </cell>
          <cell r="B26" t="str">
            <v>-</v>
          </cell>
          <cell r="C26" t="str">
            <v> </v>
          </cell>
          <cell r="D26">
            <v>208283654</v>
          </cell>
          <cell r="E26">
            <v>446964587</v>
          </cell>
        </row>
        <row r="27">
          <cell r="A27" t="str">
            <v>A2010201M</v>
          </cell>
          <cell r="B27" t="str">
            <v>国内テスト関係費</v>
          </cell>
          <cell r="C27" t="str">
            <v> </v>
          </cell>
          <cell r="D27">
            <v>0</v>
          </cell>
          <cell r="E27">
            <v>0</v>
          </cell>
        </row>
        <row r="28">
          <cell r="A28" t="str">
            <v>A2010202J</v>
          </cell>
          <cell r="B28" t="str">
            <v>-</v>
          </cell>
          <cell r="C28" t="str">
            <v> </v>
          </cell>
          <cell r="D28">
            <v>250907819</v>
          </cell>
          <cell r="E28">
            <v>387407825</v>
          </cell>
        </row>
        <row r="29">
          <cell r="A29" t="str">
            <v>A2010202M</v>
          </cell>
          <cell r="B29" t="str">
            <v>海外テスト関係費</v>
          </cell>
          <cell r="C29" t="str">
            <v> </v>
          </cell>
          <cell r="D29">
            <v>0</v>
          </cell>
          <cell r="E29">
            <v>0</v>
          </cell>
        </row>
        <row r="30">
          <cell r="A30" t="str">
            <v>A2010203J</v>
          </cell>
          <cell r="B30" t="str">
            <v>_</v>
          </cell>
          <cell r="C30" t="str">
            <v> </v>
          </cell>
          <cell r="D30">
            <v>67626399</v>
          </cell>
          <cell r="E30">
            <v>108117396</v>
          </cell>
        </row>
        <row r="31">
          <cell r="A31" t="str">
            <v>A2010203M</v>
          </cell>
          <cell r="B31" t="str">
            <v>テスト関係費（Ｒ）</v>
          </cell>
          <cell r="C31" t="str">
            <v> </v>
          </cell>
          <cell r="D31">
            <v>0</v>
          </cell>
          <cell r="E31">
            <v>0</v>
          </cell>
        </row>
        <row r="32">
          <cell r="A32" t="str">
            <v>A202----M</v>
          </cell>
          <cell r="B32" t="str">
            <v>間接費</v>
          </cell>
          <cell r="C32" t="str">
            <v> </v>
          </cell>
          <cell r="D32">
            <v>0</v>
          </cell>
          <cell r="E32">
            <v>0</v>
          </cell>
        </row>
        <row r="33">
          <cell r="A33" t="str">
            <v>A20201--M</v>
          </cell>
          <cell r="B33" t="str">
            <v>労務費</v>
          </cell>
          <cell r="C33" t="str">
            <v> </v>
          </cell>
          <cell r="D33">
            <v>0</v>
          </cell>
          <cell r="E33">
            <v>0</v>
          </cell>
        </row>
        <row r="34">
          <cell r="A34" t="str">
            <v>A2020101J</v>
          </cell>
          <cell r="B34" t="str">
            <v>-</v>
          </cell>
          <cell r="C34" t="str">
            <v> </v>
          </cell>
          <cell r="D34">
            <v>1757901187</v>
          </cell>
          <cell r="E34">
            <v>3420096651</v>
          </cell>
        </row>
        <row r="35">
          <cell r="A35" t="str">
            <v>A2020101M</v>
          </cell>
          <cell r="B35" t="str">
            <v>給料</v>
          </cell>
          <cell r="C35" t="str">
            <v> </v>
          </cell>
          <cell r="D35">
            <v>0</v>
          </cell>
          <cell r="E35">
            <v>0</v>
          </cell>
        </row>
        <row r="36">
          <cell r="A36" t="str">
            <v>A2020102J</v>
          </cell>
          <cell r="B36" t="str">
            <v>-</v>
          </cell>
          <cell r="C36" t="str">
            <v> </v>
          </cell>
          <cell r="D36">
            <v>372236852</v>
          </cell>
          <cell r="E36">
            <v>743687737</v>
          </cell>
        </row>
        <row r="37">
          <cell r="A37" t="str">
            <v>A2020102M</v>
          </cell>
          <cell r="B37" t="str">
            <v>超過勤務手当</v>
          </cell>
          <cell r="C37" t="str">
            <v> </v>
          </cell>
          <cell r="D37">
            <v>0</v>
          </cell>
          <cell r="E37">
            <v>0</v>
          </cell>
        </row>
        <row r="38">
          <cell r="A38" t="str">
            <v>A2020103J</v>
          </cell>
          <cell r="B38" t="str">
            <v>-</v>
          </cell>
          <cell r="C38" t="str">
            <v> </v>
          </cell>
          <cell r="D38">
            <v>6911784</v>
          </cell>
          <cell r="E38">
            <v>13239172</v>
          </cell>
        </row>
        <row r="39">
          <cell r="A39" t="str">
            <v>A2020103M</v>
          </cell>
          <cell r="B39" t="str">
            <v>雑給</v>
          </cell>
          <cell r="C39" t="str">
            <v> </v>
          </cell>
          <cell r="D39">
            <v>0</v>
          </cell>
          <cell r="E39">
            <v>0</v>
          </cell>
        </row>
        <row r="40">
          <cell r="A40" t="str">
            <v>A2020104J</v>
          </cell>
          <cell r="B40" t="str">
            <v>-</v>
          </cell>
          <cell r="C40" t="str">
            <v> </v>
          </cell>
          <cell r="D40">
            <v>507876796</v>
          </cell>
          <cell r="E40">
            <v>996522652</v>
          </cell>
        </row>
        <row r="41">
          <cell r="A41" t="str">
            <v>A2020104M</v>
          </cell>
          <cell r="B41" t="str">
            <v>作業応援依頼費</v>
          </cell>
          <cell r="C41" t="str">
            <v> </v>
          </cell>
          <cell r="D41">
            <v>0</v>
          </cell>
          <cell r="E41">
            <v>0</v>
          </cell>
        </row>
        <row r="42">
          <cell r="A42" t="str">
            <v>A2020105J</v>
          </cell>
          <cell r="B42" t="str">
            <v>-</v>
          </cell>
          <cell r="C42" t="str">
            <v> </v>
          </cell>
          <cell r="D42">
            <v>163997940</v>
          </cell>
          <cell r="E42">
            <v>290615139</v>
          </cell>
        </row>
        <row r="43">
          <cell r="A43" t="str">
            <v>A2020105M</v>
          </cell>
          <cell r="B43" t="str">
            <v>退職金</v>
          </cell>
          <cell r="C43" t="str">
            <v> </v>
          </cell>
          <cell r="D43">
            <v>0</v>
          </cell>
          <cell r="E43">
            <v>0</v>
          </cell>
        </row>
        <row r="44">
          <cell r="A44" t="str">
            <v>A2020106M</v>
          </cell>
          <cell r="B44" t="str">
            <v>従業員賞与</v>
          </cell>
          <cell r="C44" t="str">
            <v> </v>
          </cell>
          <cell r="D44">
            <v>0</v>
          </cell>
          <cell r="E44">
            <v>0</v>
          </cell>
        </row>
        <row r="45">
          <cell r="A45" t="str">
            <v>A2020107J</v>
          </cell>
          <cell r="B45" t="str">
            <v>-</v>
          </cell>
          <cell r="C45" t="str">
            <v> </v>
          </cell>
          <cell r="D45">
            <v>873997000</v>
          </cell>
          <cell r="E45">
            <v>1747994000</v>
          </cell>
        </row>
        <row r="46">
          <cell r="A46" t="str">
            <v>A2020107M</v>
          </cell>
          <cell r="B46" t="str">
            <v>賞与繰入額</v>
          </cell>
          <cell r="C46" t="str">
            <v> </v>
          </cell>
          <cell r="D46">
            <v>0</v>
          </cell>
          <cell r="E46">
            <v>0</v>
          </cell>
        </row>
        <row r="47">
          <cell r="A47" t="str">
            <v>A2020108J</v>
          </cell>
          <cell r="B47" t="str">
            <v>-</v>
          </cell>
          <cell r="C47" t="str">
            <v> </v>
          </cell>
          <cell r="D47">
            <v>102709782</v>
          </cell>
          <cell r="E47">
            <v>201072737</v>
          </cell>
        </row>
        <row r="48">
          <cell r="A48" t="str">
            <v>A2020108M</v>
          </cell>
          <cell r="B48" t="str">
            <v>健康保険料</v>
          </cell>
          <cell r="C48" t="str">
            <v> </v>
          </cell>
          <cell r="D48">
            <v>0</v>
          </cell>
          <cell r="E48">
            <v>0</v>
          </cell>
        </row>
        <row r="49">
          <cell r="A49" t="str">
            <v>A2020109J</v>
          </cell>
          <cell r="B49" t="str">
            <v>-</v>
          </cell>
          <cell r="C49" t="str">
            <v> </v>
          </cell>
          <cell r="D49">
            <v>422909989</v>
          </cell>
          <cell r="E49">
            <v>623703848</v>
          </cell>
        </row>
        <row r="50">
          <cell r="A50" t="str">
            <v>A2020109M</v>
          </cell>
          <cell r="B50" t="str">
            <v>厚生年金保険料</v>
          </cell>
          <cell r="C50" t="str">
            <v> </v>
          </cell>
          <cell r="D50">
            <v>0</v>
          </cell>
          <cell r="E50">
            <v>0</v>
          </cell>
        </row>
        <row r="51">
          <cell r="A51" t="str">
            <v>A2020110J</v>
          </cell>
          <cell r="B51" t="str">
            <v>-</v>
          </cell>
          <cell r="C51" t="str">
            <v> </v>
          </cell>
          <cell r="D51">
            <v>30826916</v>
          </cell>
          <cell r="E51">
            <v>70914264</v>
          </cell>
        </row>
        <row r="52">
          <cell r="A52" t="str">
            <v>A2020110M</v>
          </cell>
          <cell r="B52" t="str">
            <v>労働保険料</v>
          </cell>
          <cell r="C52" t="str">
            <v> </v>
          </cell>
          <cell r="D52">
            <v>0</v>
          </cell>
          <cell r="E52">
            <v>0</v>
          </cell>
        </row>
        <row r="53">
          <cell r="A53" t="str">
            <v>A20202--M</v>
          </cell>
          <cell r="B53" t="str">
            <v>操業費</v>
          </cell>
          <cell r="C53" t="str">
            <v> </v>
          </cell>
          <cell r="D53">
            <v>0</v>
          </cell>
          <cell r="E53">
            <v>0</v>
          </cell>
        </row>
        <row r="54">
          <cell r="A54" t="str">
            <v>A2020201J</v>
          </cell>
          <cell r="B54" t="str">
            <v>-</v>
          </cell>
          <cell r="C54" t="str">
            <v> </v>
          </cell>
          <cell r="D54">
            <v>38964458</v>
          </cell>
          <cell r="E54">
            <v>66640044</v>
          </cell>
        </row>
        <row r="55">
          <cell r="A55" t="str">
            <v>A2020201M</v>
          </cell>
          <cell r="B55" t="str">
            <v>石油製品</v>
          </cell>
          <cell r="C55" t="str">
            <v> </v>
          </cell>
          <cell r="D55">
            <v>0</v>
          </cell>
          <cell r="E55">
            <v>0</v>
          </cell>
        </row>
        <row r="56">
          <cell r="A56" t="str">
            <v>A2020202J</v>
          </cell>
          <cell r="B56" t="str">
            <v>-</v>
          </cell>
          <cell r="C56" t="str">
            <v> </v>
          </cell>
          <cell r="D56">
            <v>3912003</v>
          </cell>
          <cell r="E56">
            <v>6564100</v>
          </cell>
        </row>
        <row r="57">
          <cell r="A57" t="str">
            <v>A2020202M</v>
          </cell>
          <cell r="B57" t="str">
            <v>試作補助材料</v>
          </cell>
          <cell r="C57" t="str">
            <v> </v>
          </cell>
          <cell r="D57">
            <v>0</v>
          </cell>
          <cell r="E57">
            <v>0</v>
          </cell>
        </row>
        <row r="58">
          <cell r="A58" t="str">
            <v>A2020203J</v>
          </cell>
          <cell r="B58" t="str">
            <v>-</v>
          </cell>
          <cell r="C58" t="str">
            <v> </v>
          </cell>
          <cell r="D58">
            <v>14123528</v>
          </cell>
          <cell r="E58">
            <v>17440682</v>
          </cell>
        </row>
        <row r="59">
          <cell r="A59" t="str">
            <v>A2020203M</v>
          </cell>
          <cell r="B59" t="str">
            <v>治具</v>
          </cell>
          <cell r="C59" t="str">
            <v> </v>
          </cell>
          <cell r="D59">
            <v>0</v>
          </cell>
          <cell r="E59">
            <v>0</v>
          </cell>
        </row>
        <row r="60">
          <cell r="A60" t="str">
            <v>A2020204J</v>
          </cell>
          <cell r="B60" t="str">
            <v>-</v>
          </cell>
          <cell r="C60" t="str">
            <v> </v>
          </cell>
          <cell r="D60">
            <v>8433141</v>
          </cell>
          <cell r="E60">
            <v>14582182</v>
          </cell>
        </row>
        <row r="61">
          <cell r="A61" t="str">
            <v>A2020204M</v>
          </cell>
          <cell r="B61" t="str">
            <v>消耗工具</v>
          </cell>
          <cell r="C61" t="str">
            <v> </v>
          </cell>
          <cell r="D61">
            <v>0</v>
          </cell>
          <cell r="E61">
            <v>0</v>
          </cell>
        </row>
        <row r="62">
          <cell r="A62" t="str">
            <v>A2020205J</v>
          </cell>
          <cell r="B62" t="str">
            <v>-</v>
          </cell>
          <cell r="C62" t="str">
            <v> </v>
          </cell>
          <cell r="D62">
            <v>1613023</v>
          </cell>
          <cell r="E62">
            <v>3501828</v>
          </cell>
        </row>
        <row r="63">
          <cell r="A63" t="str">
            <v>A2020205M</v>
          </cell>
          <cell r="B63" t="str">
            <v>試験研究用器具費（レンタル・リース）</v>
          </cell>
          <cell r="C63" t="str">
            <v> </v>
          </cell>
          <cell r="D63">
            <v>0</v>
          </cell>
          <cell r="E63">
            <v>0</v>
          </cell>
        </row>
        <row r="64">
          <cell r="A64" t="str">
            <v>A2020206J</v>
          </cell>
          <cell r="B64" t="str">
            <v>-</v>
          </cell>
          <cell r="C64" t="str">
            <v> </v>
          </cell>
          <cell r="D64">
            <v>20847240</v>
          </cell>
          <cell r="E64">
            <v>31916940</v>
          </cell>
        </row>
        <row r="65">
          <cell r="A65" t="str">
            <v>A2020206M</v>
          </cell>
          <cell r="B65" t="str">
            <v>試験研究用器具費（研究器具）</v>
          </cell>
          <cell r="C65" t="str">
            <v> </v>
          </cell>
          <cell r="D65">
            <v>0</v>
          </cell>
          <cell r="E65">
            <v>0</v>
          </cell>
        </row>
        <row r="66">
          <cell r="A66" t="str">
            <v>A2020207J</v>
          </cell>
          <cell r="B66" t="str">
            <v>-</v>
          </cell>
          <cell r="C66" t="str">
            <v> </v>
          </cell>
          <cell r="D66">
            <v>8405760</v>
          </cell>
          <cell r="E66">
            <v>15607813</v>
          </cell>
        </row>
        <row r="67">
          <cell r="A67" t="str">
            <v>A2020207M</v>
          </cell>
          <cell r="B67" t="str">
            <v>試験研究用器具費（テスト治具）</v>
          </cell>
          <cell r="C67" t="str">
            <v> </v>
          </cell>
          <cell r="D67">
            <v>0</v>
          </cell>
          <cell r="E67">
            <v>0</v>
          </cell>
        </row>
        <row r="68">
          <cell r="A68" t="str">
            <v>A2020208J</v>
          </cell>
          <cell r="B68" t="str">
            <v>-</v>
          </cell>
          <cell r="C68" t="str">
            <v> </v>
          </cell>
          <cell r="D68">
            <v>1997600</v>
          </cell>
          <cell r="E68">
            <v>3648450</v>
          </cell>
        </row>
        <row r="69">
          <cell r="A69" t="str">
            <v>A2020208M</v>
          </cell>
          <cell r="B69" t="str">
            <v>作業用備品</v>
          </cell>
          <cell r="C69" t="str">
            <v> </v>
          </cell>
          <cell r="D69">
            <v>0</v>
          </cell>
          <cell r="E69">
            <v>0</v>
          </cell>
        </row>
        <row r="70">
          <cell r="A70" t="str">
            <v>A2020209J</v>
          </cell>
          <cell r="B70" t="str">
            <v>-</v>
          </cell>
          <cell r="C70" t="str">
            <v> </v>
          </cell>
          <cell r="D70">
            <v>2600000</v>
          </cell>
          <cell r="E70">
            <v>2600000</v>
          </cell>
        </row>
        <row r="71">
          <cell r="A71" t="str">
            <v>A2020209M</v>
          </cell>
          <cell r="B71" t="str">
            <v>複合検具</v>
          </cell>
          <cell r="C71" t="str">
            <v> </v>
          </cell>
          <cell r="D71">
            <v>0</v>
          </cell>
          <cell r="E71">
            <v>0</v>
          </cell>
        </row>
        <row r="72">
          <cell r="A72" t="str">
            <v>A2020210J</v>
          </cell>
          <cell r="B72" t="str">
            <v>-</v>
          </cell>
          <cell r="C72" t="str">
            <v> </v>
          </cell>
          <cell r="D72">
            <v>135225793</v>
          </cell>
          <cell r="E72">
            <v>271233608</v>
          </cell>
        </row>
        <row r="73">
          <cell r="A73" t="str">
            <v>A2020210M</v>
          </cell>
          <cell r="B73" t="str">
            <v>電力料</v>
          </cell>
          <cell r="C73" t="str">
            <v> </v>
          </cell>
          <cell r="D73">
            <v>0</v>
          </cell>
          <cell r="E73">
            <v>0</v>
          </cell>
        </row>
        <row r="74">
          <cell r="A74" t="str">
            <v>A2020211J</v>
          </cell>
          <cell r="B74" t="str">
            <v>-</v>
          </cell>
          <cell r="C74" t="str">
            <v> </v>
          </cell>
          <cell r="D74">
            <v>3823024</v>
          </cell>
          <cell r="E74">
            <v>6152948</v>
          </cell>
        </row>
        <row r="75">
          <cell r="A75" t="str">
            <v>A2020211M</v>
          </cell>
          <cell r="B75" t="str">
            <v>燃料費</v>
          </cell>
          <cell r="C75" t="str">
            <v> </v>
          </cell>
          <cell r="D75">
            <v>0</v>
          </cell>
          <cell r="E75">
            <v>0</v>
          </cell>
        </row>
        <row r="76">
          <cell r="A76" t="str">
            <v>A2020212J</v>
          </cell>
          <cell r="B76" t="str">
            <v>-</v>
          </cell>
          <cell r="C76" t="str">
            <v> </v>
          </cell>
          <cell r="D76">
            <v>960840</v>
          </cell>
          <cell r="E76">
            <v>446840</v>
          </cell>
        </row>
        <row r="77">
          <cell r="A77" t="str">
            <v>A2020212M</v>
          </cell>
          <cell r="B77" t="str">
            <v>水道料</v>
          </cell>
          <cell r="C77" t="str">
            <v> </v>
          </cell>
          <cell r="D77">
            <v>0</v>
          </cell>
          <cell r="E77">
            <v>0</v>
          </cell>
        </row>
        <row r="78">
          <cell r="A78" t="str">
            <v>A2020213J</v>
          </cell>
          <cell r="B78" t="str">
            <v>-</v>
          </cell>
          <cell r="C78" t="str">
            <v> </v>
          </cell>
          <cell r="D78">
            <v>0</v>
          </cell>
          <cell r="E78">
            <v>12500</v>
          </cell>
        </row>
        <row r="79">
          <cell r="A79" t="str">
            <v>A2020213M</v>
          </cell>
          <cell r="B79" t="str">
            <v>作業用消耗品費（設計用）</v>
          </cell>
          <cell r="C79" t="str">
            <v> </v>
          </cell>
          <cell r="D79">
            <v>0</v>
          </cell>
          <cell r="E79">
            <v>0</v>
          </cell>
        </row>
        <row r="80">
          <cell r="A80" t="str">
            <v>A2020214J</v>
          </cell>
          <cell r="B80" t="str">
            <v>-</v>
          </cell>
          <cell r="C80" t="str">
            <v> </v>
          </cell>
          <cell r="D80">
            <v>32864420</v>
          </cell>
          <cell r="E80">
            <v>64611942</v>
          </cell>
        </row>
        <row r="81">
          <cell r="A81" t="str">
            <v>A2020214M</v>
          </cell>
          <cell r="B81" t="str">
            <v>作業用消耗品費（一般）</v>
          </cell>
          <cell r="C81" t="str">
            <v> </v>
          </cell>
          <cell r="D81">
            <v>0</v>
          </cell>
          <cell r="E81">
            <v>0</v>
          </cell>
        </row>
        <row r="82">
          <cell r="A82" t="str">
            <v>A2020215J</v>
          </cell>
          <cell r="B82" t="str">
            <v>-</v>
          </cell>
          <cell r="C82" t="str">
            <v> </v>
          </cell>
          <cell r="D82">
            <v>7986280</v>
          </cell>
          <cell r="E82">
            <v>8975272</v>
          </cell>
        </row>
        <row r="83">
          <cell r="A83" t="str">
            <v>A2020215M</v>
          </cell>
          <cell r="B83" t="str">
            <v>作業用消耗品費（安全）</v>
          </cell>
          <cell r="C83" t="str">
            <v> </v>
          </cell>
          <cell r="D83">
            <v>0</v>
          </cell>
          <cell r="E83">
            <v>0</v>
          </cell>
        </row>
        <row r="84">
          <cell r="A84" t="str">
            <v>A2020216J</v>
          </cell>
          <cell r="B84" t="str">
            <v>-</v>
          </cell>
          <cell r="C84" t="str">
            <v> </v>
          </cell>
          <cell r="D84">
            <v>0</v>
          </cell>
          <cell r="E84">
            <v>0</v>
          </cell>
        </row>
        <row r="85">
          <cell r="A85" t="str">
            <v>A2020216M</v>
          </cell>
          <cell r="B85" t="str">
            <v>作業用消耗品費（設管）</v>
          </cell>
          <cell r="C85" t="str">
            <v> </v>
          </cell>
          <cell r="D85">
            <v>0</v>
          </cell>
          <cell r="E85">
            <v>0</v>
          </cell>
        </row>
        <row r="86">
          <cell r="A86" t="str">
            <v>A2020217J</v>
          </cell>
          <cell r="B86" t="str">
            <v>-</v>
          </cell>
          <cell r="C86" t="str">
            <v> </v>
          </cell>
          <cell r="D86">
            <v>39118456</v>
          </cell>
          <cell r="E86">
            <v>75712133</v>
          </cell>
        </row>
        <row r="87">
          <cell r="A87" t="str">
            <v>A2020217M</v>
          </cell>
          <cell r="B87" t="str">
            <v>図面費</v>
          </cell>
          <cell r="C87" t="str">
            <v> </v>
          </cell>
          <cell r="D87">
            <v>0</v>
          </cell>
          <cell r="E87">
            <v>0</v>
          </cell>
        </row>
        <row r="88">
          <cell r="A88" t="str">
            <v>A20203--M</v>
          </cell>
          <cell r="B88" t="str">
            <v>設備費</v>
          </cell>
          <cell r="C88" t="str">
            <v> </v>
          </cell>
          <cell r="D88">
            <v>0</v>
          </cell>
          <cell r="E88">
            <v>0</v>
          </cell>
        </row>
        <row r="89">
          <cell r="A89" t="str">
            <v>A2020301J</v>
          </cell>
          <cell r="B89" t="str">
            <v>-</v>
          </cell>
          <cell r="C89" t="str">
            <v> </v>
          </cell>
          <cell r="D89">
            <v>1077540</v>
          </cell>
          <cell r="E89">
            <v>2027270</v>
          </cell>
        </row>
        <row r="90">
          <cell r="A90" t="str">
            <v>A2020301M</v>
          </cell>
          <cell r="B90" t="str">
            <v>機械修理</v>
          </cell>
          <cell r="C90" t="str">
            <v> </v>
          </cell>
          <cell r="D90">
            <v>0</v>
          </cell>
          <cell r="E90">
            <v>0</v>
          </cell>
        </row>
        <row r="91">
          <cell r="A91" t="str">
            <v>A2020302J</v>
          </cell>
          <cell r="B91" t="str">
            <v>-</v>
          </cell>
          <cell r="C91" t="str">
            <v> </v>
          </cell>
          <cell r="D91">
            <v>16960456</v>
          </cell>
          <cell r="E91">
            <v>30086636</v>
          </cell>
        </row>
        <row r="92">
          <cell r="A92" t="str">
            <v>A2020302M</v>
          </cell>
          <cell r="B92" t="str">
            <v>研究設備修理</v>
          </cell>
          <cell r="C92" t="str">
            <v> </v>
          </cell>
          <cell r="D92">
            <v>0</v>
          </cell>
          <cell r="E92">
            <v>0</v>
          </cell>
        </row>
        <row r="93">
          <cell r="A93" t="str">
            <v>A2020303J</v>
          </cell>
          <cell r="B93" t="str">
            <v>-</v>
          </cell>
          <cell r="C93" t="str">
            <v> </v>
          </cell>
          <cell r="D93">
            <v>56458004</v>
          </cell>
          <cell r="E93">
            <v>72287737</v>
          </cell>
        </row>
        <row r="94">
          <cell r="A94" t="str">
            <v>A2020303M</v>
          </cell>
          <cell r="B94" t="str">
            <v>一般設備修理</v>
          </cell>
          <cell r="C94" t="str">
            <v> </v>
          </cell>
          <cell r="D94">
            <v>0</v>
          </cell>
          <cell r="E94">
            <v>0</v>
          </cell>
        </row>
        <row r="95">
          <cell r="A95" t="str">
            <v>A2020304J</v>
          </cell>
          <cell r="B95" t="str">
            <v>-</v>
          </cell>
          <cell r="C95" t="str">
            <v> </v>
          </cell>
          <cell r="D95">
            <v>9938840</v>
          </cell>
          <cell r="E95">
            <v>14559840</v>
          </cell>
        </row>
        <row r="96">
          <cell r="A96" t="str">
            <v>A2020304M</v>
          </cell>
          <cell r="B96" t="str">
            <v>土木建築修理</v>
          </cell>
          <cell r="C96" t="str">
            <v> </v>
          </cell>
          <cell r="D96">
            <v>0</v>
          </cell>
          <cell r="E96">
            <v>0</v>
          </cell>
        </row>
        <row r="97">
          <cell r="A97" t="str">
            <v>A2020305J</v>
          </cell>
          <cell r="B97" t="str">
            <v>-</v>
          </cell>
          <cell r="C97" t="str">
            <v> </v>
          </cell>
          <cell r="D97">
            <v>11690707</v>
          </cell>
          <cell r="E97">
            <v>12190707</v>
          </cell>
        </row>
        <row r="98">
          <cell r="A98" t="str">
            <v>A2020305M</v>
          </cell>
          <cell r="B98" t="str">
            <v>Ｌ／Ｏ費</v>
          </cell>
          <cell r="C98" t="str">
            <v> </v>
          </cell>
          <cell r="D98">
            <v>0</v>
          </cell>
          <cell r="E98">
            <v>0</v>
          </cell>
        </row>
        <row r="99">
          <cell r="A99" t="str">
            <v>A2020306M</v>
          </cell>
          <cell r="B99" t="str">
            <v>Ｌ／Ｏ費（Ａ）</v>
          </cell>
          <cell r="C99" t="str">
            <v> </v>
          </cell>
          <cell r="D99">
            <v>0</v>
          </cell>
          <cell r="E99">
            <v>0</v>
          </cell>
        </row>
        <row r="100">
          <cell r="A100" t="str">
            <v>A2020307M</v>
          </cell>
          <cell r="B100" t="str">
            <v>Ｌ／Ｏ費（Ｂ）</v>
          </cell>
          <cell r="C100" t="str">
            <v> </v>
          </cell>
          <cell r="D100">
            <v>0</v>
          </cell>
          <cell r="E100">
            <v>0</v>
          </cell>
        </row>
        <row r="101">
          <cell r="A101" t="str">
            <v>A2020308J</v>
          </cell>
          <cell r="B101" t="str">
            <v>-</v>
          </cell>
          <cell r="C101" t="str">
            <v> </v>
          </cell>
          <cell r="D101">
            <v>10253100</v>
          </cell>
          <cell r="E101">
            <v>20455100</v>
          </cell>
        </row>
        <row r="102">
          <cell r="A102" t="str">
            <v>A2020308M</v>
          </cell>
          <cell r="B102" t="str">
            <v>固定資産税</v>
          </cell>
          <cell r="C102" t="str">
            <v> </v>
          </cell>
          <cell r="D102">
            <v>0</v>
          </cell>
          <cell r="E102">
            <v>0</v>
          </cell>
        </row>
        <row r="103">
          <cell r="A103" t="str">
            <v>A2020309J</v>
          </cell>
          <cell r="B103" t="str">
            <v>-</v>
          </cell>
          <cell r="C103" t="str">
            <v> </v>
          </cell>
          <cell r="D103">
            <v>269192623</v>
          </cell>
          <cell r="E103">
            <v>531665425</v>
          </cell>
        </row>
        <row r="104">
          <cell r="A104" t="str">
            <v>A2020309M</v>
          </cell>
          <cell r="B104" t="str">
            <v>減価償却費</v>
          </cell>
          <cell r="C104" t="str">
            <v> </v>
          </cell>
          <cell r="D104">
            <v>0</v>
          </cell>
          <cell r="E104">
            <v>0</v>
          </cell>
        </row>
        <row r="105">
          <cell r="A105" t="str">
            <v>A2020310J</v>
          </cell>
          <cell r="B105" t="str">
            <v>-</v>
          </cell>
          <cell r="C105" t="str">
            <v> </v>
          </cell>
          <cell r="D105">
            <v>2253459</v>
          </cell>
          <cell r="E105">
            <v>4506918</v>
          </cell>
        </row>
        <row r="106">
          <cell r="A106" t="str">
            <v>A2020310M</v>
          </cell>
          <cell r="B106" t="str">
            <v>火災保険料</v>
          </cell>
          <cell r="C106" t="str">
            <v> </v>
          </cell>
          <cell r="D106">
            <v>0</v>
          </cell>
          <cell r="E106">
            <v>0</v>
          </cell>
        </row>
        <row r="107">
          <cell r="A107" t="str">
            <v>A2020311J</v>
          </cell>
          <cell r="B107" t="str">
            <v>-</v>
          </cell>
          <cell r="C107" t="str">
            <v> </v>
          </cell>
          <cell r="D107">
            <v>373568435</v>
          </cell>
          <cell r="E107">
            <v>685715441</v>
          </cell>
        </row>
        <row r="108">
          <cell r="A108" t="str">
            <v>A2020311M</v>
          </cell>
          <cell r="B108" t="str">
            <v>固定資産賃借料</v>
          </cell>
          <cell r="C108" t="str">
            <v> </v>
          </cell>
          <cell r="D108">
            <v>0</v>
          </cell>
          <cell r="E108">
            <v>0</v>
          </cell>
        </row>
        <row r="109">
          <cell r="A109" t="str">
            <v>A2020312J</v>
          </cell>
          <cell r="B109" t="str">
            <v>-</v>
          </cell>
          <cell r="C109" t="str">
            <v> </v>
          </cell>
          <cell r="D109">
            <v>816057</v>
          </cell>
          <cell r="E109">
            <v>1589602</v>
          </cell>
        </row>
        <row r="110">
          <cell r="A110" t="str">
            <v>A2020312M</v>
          </cell>
          <cell r="B110" t="str">
            <v>連絡車関係費</v>
          </cell>
          <cell r="C110" t="str">
            <v> </v>
          </cell>
          <cell r="D110">
            <v>0</v>
          </cell>
          <cell r="E110">
            <v>0</v>
          </cell>
        </row>
        <row r="111">
          <cell r="A111" t="str">
            <v>A20204--M</v>
          </cell>
          <cell r="B111" t="str">
            <v>管理費</v>
          </cell>
          <cell r="C111" t="str">
            <v> </v>
          </cell>
          <cell r="D111">
            <v>0</v>
          </cell>
          <cell r="E111">
            <v>0</v>
          </cell>
        </row>
        <row r="112">
          <cell r="A112" t="str">
            <v>A2020401J</v>
          </cell>
          <cell r="B112" t="str">
            <v>-</v>
          </cell>
          <cell r="C112" t="str">
            <v> </v>
          </cell>
          <cell r="D112">
            <v>41691322</v>
          </cell>
          <cell r="E112">
            <v>84621994</v>
          </cell>
        </row>
        <row r="113">
          <cell r="A113" t="str">
            <v>A2020401M</v>
          </cell>
          <cell r="B113" t="str">
            <v>給食補助金</v>
          </cell>
          <cell r="C113" t="str">
            <v> </v>
          </cell>
          <cell r="D113">
            <v>0</v>
          </cell>
          <cell r="E113">
            <v>0</v>
          </cell>
        </row>
        <row r="114">
          <cell r="A114" t="str">
            <v>A2020402J</v>
          </cell>
          <cell r="B114" t="str">
            <v>-</v>
          </cell>
          <cell r="C114" t="str">
            <v> </v>
          </cell>
          <cell r="D114">
            <v>3936350</v>
          </cell>
          <cell r="E114">
            <v>5553092</v>
          </cell>
        </row>
        <row r="115">
          <cell r="A115" t="str">
            <v>A2020402M</v>
          </cell>
          <cell r="B115" t="str">
            <v>レクリェエーション費</v>
          </cell>
          <cell r="C115" t="str">
            <v> </v>
          </cell>
          <cell r="D115">
            <v>0</v>
          </cell>
          <cell r="E115">
            <v>0</v>
          </cell>
        </row>
        <row r="116">
          <cell r="A116" t="str">
            <v>A2020403J</v>
          </cell>
          <cell r="B116" t="str">
            <v>-</v>
          </cell>
          <cell r="C116" t="str">
            <v> </v>
          </cell>
          <cell r="D116">
            <v>6023595</v>
          </cell>
          <cell r="E116">
            <v>11786269</v>
          </cell>
        </row>
        <row r="117">
          <cell r="A117" t="str">
            <v>A2020403M</v>
          </cell>
          <cell r="B117" t="str">
            <v>貸与品</v>
          </cell>
          <cell r="C117" t="str">
            <v> </v>
          </cell>
          <cell r="D117">
            <v>0</v>
          </cell>
          <cell r="E117">
            <v>0</v>
          </cell>
        </row>
        <row r="118">
          <cell r="A118" t="str">
            <v>A2020404J</v>
          </cell>
          <cell r="B118" t="str">
            <v>-</v>
          </cell>
          <cell r="C118" t="str">
            <v> </v>
          </cell>
          <cell r="D118">
            <v>-4609324</v>
          </cell>
          <cell r="E118">
            <v>-16004087</v>
          </cell>
        </row>
        <row r="119">
          <cell r="A119" t="str">
            <v>A2020404M</v>
          </cell>
          <cell r="B119" t="str">
            <v>診療関係費</v>
          </cell>
          <cell r="C119" t="str">
            <v> </v>
          </cell>
          <cell r="D119">
            <v>0</v>
          </cell>
          <cell r="E119">
            <v>0</v>
          </cell>
        </row>
        <row r="120">
          <cell r="A120" t="str">
            <v>A2020405J</v>
          </cell>
          <cell r="B120" t="str">
            <v>-</v>
          </cell>
          <cell r="C120" t="str">
            <v> </v>
          </cell>
          <cell r="D120">
            <v>5640543</v>
          </cell>
          <cell r="E120">
            <v>9561205</v>
          </cell>
        </row>
        <row r="121">
          <cell r="A121" t="str">
            <v>A2020405M</v>
          </cell>
          <cell r="B121" t="str">
            <v>安全衛生費</v>
          </cell>
          <cell r="C121" t="str">
            <v> </v>
          </cell>
          <cell r="D121">
            <v>0</v>
          </cell>
          <cell r="E121">
            <v>0</v>
          </cell>
        </row>
        <row r="122">
          <cell r="A122" t="str">
            <v>A2020406J</v>
          </cell>
          <cell r="B122" t="str">
            <v>-</v>
          </cell>
          <cell r="C122" t="str">
            <v> </v>
          </cell>
          <cell r="D122">
            <v>8237397</v>
          </cell>
          <cell r="E122">
            <v>18170063</v>
          </cell>
        </row>
        <row r="123">
          <cell r="A123" t="str">
            <v>A2020406M</v>
          </cell>
          <cell r="B123" t="str">
            <v>研修関係費</v>
          </cell>
          <cell r="C123" t="str">
            <v> </v>
          </cell>
          <cell r="D123">
            <v>0</v>
          </cell>
          <cell r="E123">
            <v>0</v>
          </cell>
        </row>
        <row r="124">
          <cell r="A124" t="str">
            <v>A2020407J</v>
          </cell>
          <cell r="B124" t="str">
            <v>-</v>
          </cell>
          <cell r="C124" t="str">
            <v> </v>
          </cell>
          <cell r="D124">
            <v>149537025</v>
          </cell>
          <cell r="E124">
            <v>281646079</v>
          </cell>
        </row>
        <row r="125">
          <cell r="A125" t="str">
            <v>A2020407M</v>
          </cell>
          <cell r="B125" t="str">
            <v>寮・社宅管理費</v>
          </cell>
          <cell r="C125" t="str">
            <v> </v>
          </cell>
          <cell r="D125">
            <v>0</v>
          </cell>
          <cell r="E125">
            <v>0</v>
          </cell>
        </row>
        <row r="126">
          <cell r="A126" t="str">
            <v>A2020408J</v>
          </cell>
          <cell r="B126" t="str">
            <v>-</v>
          </cell>
          <cell r="C126" t="str">
            <v> </v>
          </cell>
          <cell r="D126">
            <v>44063878</v>
          </cell>
          <cell r="E126">
            <v>79779837</v>
          </cell>
        </row>
        <row r="127">
          <cell r="A127" t="str">
            <v>A2020408M</v>
          </cell>
          <cell r="B127" t="str">
            <v>その他厚生費</v>
          </cell>
          <cell r="C127" t="str">
            <v> </v>
          </cell>
          <cell r="D127">
            <v>0</v>
          </cell>
          <cell r="E127">
            <v>0</v>
          </cell>
        </row>
        <row r="128">
          <cell r="A128" t="str">
            <v>A2020409J</v>
          </cell>
          <cell r="B128" t="str">
            <v>-</v>
          </cell>
          <cell r="C128" t="str">
            <v> </v>
          </cell>
          <cell r="D128">
            <v>13887093</v>
          </cell>
          <cell r="E128">
            <v>47553838</v>
          </cell>
        </row>
        <row r="129">
          <cell r="A129" t="str">
            <v>A2020409M</v>
          </cell>
          <cell r="B129" t="str">
            <v>国内旅費交通費</v>
          </cell>
          <cell r="C129" t="str">
            <v> </v>
          </cell>
          <cell r="D129">
            <v>0</v>
          </cell>
          <cell r="E129">
            <v>0</v>
          </cell>
        </row>
        <row r="130">
          <cell r="A130" t="str">
            <v>A2020410J</v>
          </cell>
          <cell r="B130" t="str">
            <v>-</v>
          </cell>
          <cell r="C130" t="str">
            <v> </v>
          </cell>
          <cell r="D130">
            <v>26906689</v>
          </cell>
          <cell r="E130">
            <v>49889337</v>
          </cell>
        </row>
        <row r="131">
          <cell r="A131" t="str">
            <v>A2020410M</v>
          </cell>
          <cell r="B131" t="str">
            <v>海外旅費交通費</v>
          </cell>
          <cell r="C131" t="str">
            <v> </v>
          </cell>
          <cell r="D131">
            <v>0</v>
          </cell>
          <cell r="E131">
            <v>0</v>
          </cell>
        </row>
        <row r="132">
          <cell r="A132" t="str">
            <v>A2020411J</v>
          </cell>
          <cell r="B132" t="str">
            <v>-</v>
          </cell>
          <cell r="C132" t="str">
            <v> </v>
          </cell>
          <cell r="D132">
            <v>112905</v>
          </cell>
          <cell r="E132">
            <v>266429</v>
          </cell>
        </row>
        <row r="133">
          <cell r="A133" t="str">
            <v>A2020411M</v>
          </cell>
          <cell r="B133" t="str">
            <v>採用関係費</v>
          </cell>
          <cell r="C133" t="str">
            <v> </v>
          </cell>
          <cell r="D133">
            <v>0</v>
          </cell>
          <cell r="E133">
            <v>0</v>
          </cell>
        </row>
        <row r="134">
          <cell r="A134" t="str">
            <v>A2020412J</v>
          </cell>
          <cell r="B134" t="str">
            <v>-</v>
          </cell>
          <cell r="C134" t="str">
            <v> </v>
          </cell>
          <cell r="D134">
            <v>742422244</v>
          </cell>
          <cell r="E134">
            <v>1401824617</v>
          </cell>
        </row>
        <row r="135">
          <cell r="A135" t="str">
            <v>A2020412M</v>
          </cell>
          <cell r="B135" t="str">
            <v>技術電子計算機費</v>
          </cell>
          <cell r="C135" t="str">
            <v> </v>
          </cell>
          <cell r="D135">
            <v>0</v>
          </cell>
          <cell r="E135">
            <v>0</v>
          </cell>
        </row>
        <row r="136">
          <cell r="A136" t="str">
            <v>A2020413J</v>
          </cell>
          <cell r="B136" t="str">
            <v>-</v>
          </cell>
          <cell r="C136" t="str">
            <v> </v>
          </cell>
          <cell r="D136">
            <v>78014490</v>
          </cell>
          <cell r="E136">
            <v>153852092</v>
          </cell>
        </row>
        <row r="137">
          <cell r="A137" t="str">
            <v>A2020413M</v>
          </cell>
          <cell r="B137" t="str">
            <v>事務電子計算機費</v>
          </cell>
          <cell r="C137" t="str">
            <v> </v>
          </cell>
          <cell r="D137">
            <v>0</v>
          </cell>
          <cell r="E137">
            <v>0</v>
          </cell>
        </row>
        <row r="138">
          <cell r="A138" t="str">
            <v>A2020414M</v>
          </cell>
          <cell r="B138" t="str">
            <v>工業所有権管理費</v>
          </cell>
          <cell r="C138" t="str">
            <v> </v>
          </cell>
          <cell r="D138">
            <v>0</v>
          </cell>
          <cell r="E138">
            <v>0</v>
          </cell>
        </row>
        <row r="139">
          <cell r="A139" t="str">
            <v>A2020415J</v>
          </cell>
          <cell r="B139" t="str">
            <v>-</v>
          </cell>
          <cell r="C139" t="str">
            <v> </v>
          </cell>
          <cell r="D139">
            <v>1077469</v>
          </cell>
          <cell r="E139">
            <v>2408411</v>
          </cell>
        </row>
        <row r="140">
          <cell r="A140" t="str">
            <v>A2020415M</v>
          </cell>
          <cell r="B140" t="str">
            <v>運送保管料</v>
          </cell>
          <cell r="C140" t="str">
            <v> </v>
          </cell>
          <cell r="D140">
            <v>0</v>
          </cell>
          <cell r="E140">
            <v>0</v>
          </cell>
        </row>
        <row r="141">
          <cell r="A141" t="str">
            <v>A2020416J</v>
          </cell>
          <cell r="B141" t="str">
            <v>-</v>
          </cell>
          <cell r="C141" t="str">
            <v> </v>
          </cell>
          <cell r="D141">
            <v>6232101</v>
          </cell>
          <cell r="E141">
            <v>13103553</v>
          </cell>
        </row>
        <row r="142">
          <cell r="A142" t="str">
            <v>A2020416M</v>
          </cell>
          <cell r="B142" t="str">
            <v>事務用消耗品</v>
          </cell>
          <cell r="C142" t="str">
            <v> </v>
          </cell>
          <cell r="D142">
            <v>0</v>
          </cell>
          <cell r="E142">
            <v>0</v>
          </cell>
        </row>
        <row r="143">
          <cell r="A143" t="str">
            <v>A2020417J</v>
          </cell>
          <cell r="B143" t="str">
            <v>-</v>
          </cell>
          <cell r="C143" t="str">
            <v> </v>
          </cell>
          <cell r="D143">
            <v>27563952</v>
          </cell>
          <cell r="E143">
            <v>48685173</v>
          </cell>
        </row>
        <row r="144">
          <cell r="A144" t="str">
            <v>A2020417M</v>
          </cell>
          <cell r="B144" t="str">
            <v>技術調査費</v>
          </cell>
          <cell r="C144" t="str">
            <v> </v>
          </cell>
          <cell r="D144">
            <v>0</v>
          </cell>
          <cell r="E144">
            <v>0</v>
          </cell>
        </row>
        <row r="145">
          <cell r="A145" t="str">
            <v>A2020418J</v>
          </cell>
          <cell r="B145" t="str">
            <v>-</v>
          </cell>
          <cell r="C145" t="str">
            <v> </v>
          </cell>
          <cell r="D145">
            <v>0</v>
          </cell>
          <cell r="E145">
            <v>1820</v>
          </cell>
        </row>
        <row r="146">
          <cell r="A146" t="str">
            <v>A2020418M</v>
          </cell>
          <cell r="B146" t="str">
            <v>人事調査費</v>
          </cell>
          <cell r="C146" t="str">
            <v> </v>
          </cell>
          <cell r="D146">
            <v>0</v>
          </cell>
          <cell r="E146">
            <v>0</v>
          </cell>
        </row>
        <row r="147">
          <cell r="A147" t="str">
            <v>A2020419J</v>
          </cell>
          <cell r="B147" t="str">
            <v>-</v>
          </cell>
          <cell r="C147" t="str">
            <v> </v>
          </cell>
          <cell r="D147">
            <v>26122836</v>
          </cell>
          <cell r="E147">
            <v>47244137</v>
          </cell>
        </row>
        <row r="148">
          <cell r="A148" t="str">
            <v>A2020419M</v>
          </cell>
          <cell r="B148" t="str">
            <v>通信費</v>
          </cell>
          <cell r="C148" t="str">
            <v> </v>
          </cell>
          <cell r="D148">
            <v>0</v>
          </cell>
          <cell r="E148">
            <v>0</v>
          </cell>
        </row>
        <row r="149">
          <cell r="A149" t="str">
            <v>A2020420J</v>
          </cell>
          <cell r="B149" t="str">
            <v>-</v>
          </cell>
          <cell r="C149" t="str">
            <v> </v>
          </cell>
          <cell r="D149">
            <v>7747158</v>
          </cell>
          <cell r="E149">
            <v>16367518</v>
          </cell>
        </row>
        <row r="150">
          <cell r="A150" t="str">
            <v>A2020420M</v>
          </cell>
          <cell r="B150" t="str">
            <v>交際費</v>
          </cell>
          <cell r="C150" t="str">
            <v> </v>
          </cell>
          <cell r="D150">
            <v>0</v>
          </cell>
          <cell r="E150">
            <v>0</v>
          </cell>
        </row>
        <row r="151">
          <cell r="A151" t="str">
            <v>A2020421J</v>
          </cell>
          <cell r="B151" t="str">
            <v>-</v>
          </cell>
          <cell r="C151" t="str">
            <v> </v>
          </cell>
          <cell r="D151">
            <v>7849900</v>
          </cell>
          <cell r="E151">
            <v>15537783</v>
          </cell>
        </row>
        <row r="152">
          <cell r="A152" t="str">
            <v>A2020421M</v>
          </cell>
          <cell r="B152" t="str">
            <v>図書費（技術図書）</v>
          </cell>
          <cell r="C152" t="str">
            <v> </v>
          </cell>
          <cell r="D152">
            <v>0</v>
          </cell>
          <cell r="E152">
            <v>0</v>
          </cell>
        </row>
        <row r="153">
          <cell r="A153" t="str">
            <v>A2020422J</v>
          </cell>
          <cell r="B153" t="str">
            <v>-</v>
          </cell>
          <cell r="C153" t="str">
            <v> </v>
          </cell>
          <cell r="D153">
            <v>1356885</v>
          </cell>
          <cell r="E153">
            <v>1504385</v>
          </cell>
        </row>
        <row r="154">
          <cell r="A154" t="str">
            <v>A2020422M</v>
          </cell>
          <cell r="B154" t="str">
            <v>図書費（規格図書）</v>
          </cell>
          <cell r="C154" t="str">
            <v> </v>
          </cell>
          <cell r="D154">
            <v>0</v>
          </cell>
          <cell r="E154">
            <v>0</v>
          </cell>
        </row>
        <row r="155">
          <cell r="A155" t="str">
            <v>A2020423J</v>
          </cell>
          <cell r="B155" t="str">
            <v>-</v>
          </cell>
          <cell r="C155" t="str">
            <v> </v>
          </cell>
          <cell r="D155">
            <v>361588</v>
          </cell>
          <cell r="E155">
            <v>736090</v>
          </cell>
        </row>
        <row r="156">
          <cell r="A156" t="str">
            <v>A2020423M</v>
          </cell>
          <cell r="B156" t="str">
            <v>図書費（一般図書）</v>
          </cell>
          <cell r="C156" t="str">
            <v> </v>
          </cell>
          <cell r="D156">
            <v>0</v>
          </cell>
          <cell r="E156">
            <v>0</v>
          </cell>
        </row>
        <row r="157">
          <cell r="A157" t="str">
            <v>A2020424J</v>
          </cell>
          <cell r="B157" t="str">
            <v>-</v>
          </cell>
          <cell r="C157" t="str">
            <v> </v>
          </cell>
          <cell r="D157">
            <v>6144716</v>
          </cell>
          <cell r="E157">
            <v>13652703</v>
          </cell>
        </row>
        <row r="158">
          <cell r="A158" t="str">
            <v>A2020424M</v>
          </cell>
          <cell r="B158" t="str">
            <v>会議費</v>
          </cell>
          <cell r="C158" t="str">
            <v> </v>
          </cell>
          <cell r="D158">
            <v>0</v>
          </cell>
          <cell r="E158">
            <v>0</v>
          </cell>
        </row>
        <row r="159">
          <cell r="A159" t="str">
            <v>A2020425J</v>
          </cell>
          <cell r="B159" t="str">
            <v>-</v>
          </cell>
          <cell r="C159" t="str">
            <v> </v>
          </cell>
          <cell r="D159">
            <v>422400</v>
          </cell>
          <cell r="E159">
            <v>514394</v>
          </cell>
        </row>
        <row r="160">
          <cell r="A160" t="str">
            <v>A2020425M</v>
          </cell>
          <cell r="B160" t="str">
            <v>諸会費（一般）</v>
          </cell>
          <cell r="C160" t="str">
            <v> </v>
          </cell>
          <cell r="D160">
            <v>0</v>
          </cell>
          <cell r="E160">
            <v>0</v>
          </cell>
        </row>
        <row r="161">
          <cell r="A161" t="str">
            <v>A2020426J</v>
          </cell>
          <cell r="B161" t="str">
            <v>-</v>
          </cell>
          <cell r="C161" t="str">
            <v> </v>
          </cell>
          <cell r="D161">
            <v>4512924</v>
          </cell>
          <cell r="E161">
            <v>8916343</v>
          </cell>
        </row>
        <row r="162">
          <cell r="A162" t="str">
            <v>A2020426M</v>
          </cell>
          <cell r="B162" t="str">
            <v>諸会費（技術）</v>
          </cell>
          <cell r="C162" t="str">
            <v> </v>
          </cell>
          <cell r="D162">
            <v>0</v>
          </cell>
          <cell r="E162">
            <v>0</v>
          </cell>
        </row>
        <row r="163">
          <cell r="A163" t="str">
            <v>A2020427J</v>
          </cell>
          <cell r="B163" t="str">
            <v>-</v>
          </cell>
          <cell r="C163" t="str">
            <v> </v>
          </cell>
          <cell r="D163">
            <v>3000000</v>
          </cell>
          <cell r="E163">
            <v>3000000</v>
          </cell>
        </row>
        <row r="164">
          <cell r="A164" t="str">
            <v>A2020427M</v>
          </cell>
          <cell r="B164" t="str">
            <v>寄付金</v>
          </cell>
          <cell r="C164" t="str">
            <v> </v>
          </cell>
          <cell r="D164">
            <v>0</v>
          </cell>
          <cell r="E164">
            <v>0</v>
          </cell>
        </row>
        <row r="165">
          <cell r="A165" t="str">
            <v>A2020428J</v>
          </cell>
          <cell r="B165" t="str">
            <v>-</v>
          </cell>
          <cell r="C165" t="str">
            <v> </v>
          </cell>
          <cell r="D165">
            <v>-9698640</v>
          </cell>
          <cell r="E165">
            <v>15118878</v>
          </cell>
        </row>
        <row r="166">
          <cell r="A166" t="str">
            <v>A2020428M</v>
          </cell>
          <cell r="B166" t="str">
            <v>その他雑費</v>
          </cell>
          <cell r="C166" t="str">
            <v> </v>
          </cell>
          <cell r="D166">
            <v>0</v>
          </cell>
          <cell r="E166">
            <v>0</v>
          </cell>
        </row>
        <row r="167">
          <cell r="A167" t="str">
            <v>A2020429J</v>
          </cell>
          <cell r="B167" t="str">
            <v>-</v>
          </cell>
          <cell r="C167" t="str">
            <v> </v>
          </cell>
          <cell r="D167">
            <v>2252639</v>
          </cell>
          <cell r="E167">
            <v>5348452</v>
          </cell>
        </row>
        <row r="168">
          <cell r="A168" t="str">
            <v>A2020429M</v>
          </cell>
          <cell r="B168" t="str">
            <v>支払手数料</v>
          </cell>
          <cell r="C168" t="str">
            <v> </v>
          </cell>
          <cell r="D168">
            <v>0</v>
          </cell>
          <cell r="E168">
            <v>0</v>
          </cell>
        </row>
        <row r="169">
          <cell r="A169" t="str">
            <v>A2020430J</v>
          </cell>
          <cell r="B169" t="str">
            <v>-</v>
          </cell>
          <cell r="C169" t="str">
            <v> </v>
          </cell>
          <cell r="D169">
            <v>3401634</v>
          </cell>
          <cell r="E169">
            <v>8284282</v>
          </cell>
        </row>
        <row r="170">
          <cell r="A170" t="str">
            <v>A2020430M</v>
          </cell>
          <cell r="B170" t="str">
            <v>公害対策費（Ａ）</v>
          </cell>
          <cell r="C170" t="str">
            <v> </v>
          </cell>
          <cell r="D170">
            <v>0</v>
          </cell>
          <cell r="E170">
            <v>0</v>
          </cell>
        </row>
        <row r="171">
          <cell r="A171" t="str">
            <v>A2020431J</v>
          </cell>
          <cell r="B171" t="str">
            <v>-</v>
          </cell>
          <cell r="C171" t="str">
            <v> </v>
          </cell>
          <cell r="D171">
            <v>4179100</v>
          </cell>
          <cell r="E171">
            <v>7225730</v>
          </cell>
        </row>
        <row r="172">
          <cell r="A172" t="str">
            <v>A2020431M</v>
          </cell>
          <cell r="B172" t="str">
            <v>公害対策費（Ｂ）</v>
          </cell>
          <cell r="C172" t="str">
            <v> </v>
          </cell>
          <cell r="D172">
            <v>0</v>
          </cell>
          <cell r="E172">
            <v>0</v>
          </cell>
        </row>
        <row r="173">
          <cell r="A173" t="str">
            <v>A2020432J</v>
          </cell>
          <cell r="B173" t="str">
            <v>-</v>
          </cell>
          <cell r="C173" t="str">
            <v> </v>
          </cell>
          <cell r="D173">
            <v>37269767</v>
          </cell>
          <cell r="E173">
            <v>41377867</v>
          </cell>
        </row>
        <row r="174">
          <cell r="A174" t="str">
            <v>A2020432M</v>
          </cell>
          <cell r="B174" t="str">
            <v>租税公課</v>
          </cell>
          <cell r="C174" t="str">
            <v> </v>
          </cell>
          <cell r="D174">
            <v>0</v>
          </cell>
          <cell r="E174">
            <v>0</v>
          </cell>
        </row>
        <row r="175">
          <cell r="A175" t="str">
            <v>A20205--M</v>
          </cell>
          <cell r="B175" t="str">
            <v>他勘定振替高</v>
          </cell>
          <cell r="C175" t="str">
            <v> </v>
          </cell>
          <cell r="D175">
            <v>0</v>
          </cell>
          <cell r="E175">
            <v>0</v>
          </cell>
        </row>
        <row r="176">
          <cell r="A176" t="str">
            <v>A2020501M</v>
          </cell>
          <cell r="B176" t="str">
            <v>他勘定振替高（F1/F3000）</v>
          </cell>
          <cell r="C176" t="str">
            <v> </v>
          </cell>
          <cell r="D176">
            <v>0</v>
          </cell>
          <cell r="E176">
            <v>0</v>
          </cell>
        </row>
        <row r="177">
          <cell r="A177" t="str">
            <v>A2020502M</v>
          </cell>
          <cell r="B177" t="str">
            <v>他勘定振替高（カート）</v>
          </cell>
          <cell r="C177" t="str">
            <v> </v>
          </cell>
          <cell r="D177">
            <v>0</v>
          </cell>
          <cell r="E177">
            <v>0</v>
          </cell>
        </row>
        <row r="178">
          <cell r="A178" t="str">
            <v>A2020503M</v>
          </cell>
          <cell r="B178" t="str">
            <v>他勘定振替高（ＨＧＦ）</v>
          </cell>
          <cell r="C178" t="str">
            <v> </v>
          </cell>
          <cell r="D178">
            <v>0</v>
          </cell>
          <cell r="E178">
            <v>0</v>
          </cell>
        </row>
        <row r="179">
          <cell r="A179" t="str">
            <v>A2020504J</v>
          </cell>
          <cell r="B179" t="str">
            <v>-</v>
          </cell>
          <cell r="C179" t="str">
            <v> </v>
          </cell>
          <cell r="D179">
            <v>-2325236</v>
          </cell>
          <cell r="E179">
            <v>-5102544</v>
          </cell>
        </row>
        <row r="180">
          <cell r="A180" t="str">
            <v>A2020504M</v>
          </cell>
          <cell r="B180" t="str">
            <v>他勘定振替高（ＩＳＵＺＵ）</v>
          </cell>
          <cell r="C180" t="str">
            <v> </v>
          </cell>
          <cell r="D180">
            <v>0</v>
          </cell>
          <cell r="E180">
            <v>0</v>
          </cell>
        </row>
        <row r="181">
          <cell r="A181" t="str">
            <v>A2020505J</v>
          </cell>
          <cell r="B181" t="str">
            <v>-</v>
          </cell>
          <cell r="C181" t="str">
            <v> </v>
          </cell>
          <cell r="D181">
            <v>-134454281</v>
          </cell>
          <cell r="E181">
            <v>-134454281</v>
          </cell>
        </row>
        <row r="182">
          <cell r="A182" t="str">
            <v>A2020505M</v>
          </cell>
          <cell r="B182" t="str">
            <v>他勘定振替高（その他）</v>
          </cell>
          <cell r="C182" t="str">
            <v> </v>
          </cell>
          <cell r="D182">
            <v>0</v>
          </cell>
          <cell r="E182">
            <v>0</v>
          </cell>
        </row>
        <row r="183">
          <cell r="A183" t="str">
            <v>A20206--M</v>
          </cell>
          <cell r="B183" t="str">
            <v>その他</v>
          </cell>
          <cell r="C183" t="str">
            <v> </v>
          </cell>
          <cell r="D183">
            <v>0</v>
          </cell>
          <cell r="E183">
            <v>0</v>
          </cell>
        </row>
        <row r="184">
          <cell r="A184" t="str">
            <v>A2020601J</v>
          </cell>
          <cell r="B184" t="str">
            <v>-</v>
          </cell>
          <cell r="C184" t="str">
            <v> </v>
          </cell>
          <cell r="D184">
            <v>-2500</v>
          </cell>
          <cell r="E184">
            <v>6418400</v>
          </cell>
        </row>
        <row r="185">
          <cell r="A185" t="str">
            <v>A2020601M</v>
          </cell>
          <cell r="B185" t="str">
            <v>事業税</v>
          </cell>
          <cell r="C185" t="str">
            <v> </v>
          </cell>
          <cell r="D185">
            <v>0</v>
          </cell>
          <cell r="E185">
            <v>0</v>
          </cell>
        </row>
        <row r="186">
          <cell r="A186" t="str">
            <v>A2020602J</v>
          </cell>
          <cell r="B186" t="str">
            <v>-</v>
          </cell>
          <cell r="C186" t="str">
            <v> </v>
          </cell>
          <cell r="D186">
            <v>261748995</v>
          </cell>
          <cell r="E186">
            <v>503374990</v>
          </cell>
        </row>
        <row r="187">
          <cell r="A187" t="str">
            <v>A2020602M</v>
          </cell>
          <cell r="B187" t="str">
            <v>ＰＧ配賦</v>
          </cell>
          <cell r="C187" t="str">
            <v> </v>
          </cell>
          <cell r="D187">
            <v>0</v>
          </cell>
          <cell r="E187">
            <v>0</v>
          </cell>
        </row>
        <row r="188">
          <cell r="A188" t="str">
            <v>A2020603J</v>
          </cell>
          <cell r="B188" t="str">
            <v>-</v>
          </cell>
          <cell r="C188" t="str">
            <v> </v>
          </cell>
          <cell r="D188">
            <v>2704721</v>
          </cell>
          <cell r="E188">
            <v>20876741</v>
          </cell>
        </row>
        <row r="189">
          <cell r="A189" t="str">
            <v>A2020603M</v>
          </cell>
          <cell r="B189" t="str">
            <v>海外事務所費用</v>
          </cell>
          <cell r="C189" t="str">
            <v> </v>
          </cell>
          <cell r="D189">
            <v>0</v>
          </cell>
          <cell r="E189">
            <v>0</v>
          </cell>
        </row>
        <row r="190">
          <cell r="A190" t="str">
            <v>A2020604J</v>
          </cell>
          <cell r="B190" t="str">
            <v>-</v>
          </cell>
          <cell r="C190" t="str">
            <v> </v>
          </cell>
          <cell r="D190">
            <v>7496441</v>
          </cell>
          <cell r="E190">
            <v>13001502</v>
          </cell>
        </row>
        <row r="191">
          <cell r="A191" t="str">
            <v>A2020604M</v>
          </cell>
          <cell r="B191" t="str">
            <v>営業外損益</v>
          </cell>
          <cell r="C191" t="str">
            <v> </v>
          </cell>
          <cell r="D191">
            <v>0</v>
          </cell>
          <cell r="E191">
            <v>0</v>
          </cell>
        </row>
        <row r="192">
          <cell r="A192" t="str">
            <v>A2020605J</v>
          </cell>
          <cell r="B192" t="str">
            <v>-</v>
          </cell>
          <cell r="C192" t="str">
            <v> </v>
          </cell>
          <cell r="D192">
            <v>5298686</v>
          </cell>
          <cell r="E192">
            <v>9840624</v>
          </cell>
        </row>
        <row r="193">
          <cell r="A193" t="str">
            <v>A2020605M</v>
          </cell>
          <cell r="B193" t="str">
            <v>特別損益</v>
          </cell>
          <cell r="C193" t="str">
            <v> </v>
          </cell>
          <cell r="D193">
            <v>0</v>
          </cell>
          <cell r="E19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GT"/>
      <sheetName val="HGW"/>
      <sheetName val="HGP-T"/>
      <sheetName val="HGP-H"/>
      <sheetName val="HGP"/>
      <sheetName val="4R"/>
      <sheetName val="4R NEW"/>
      <sheetName val="HGA"/>
      <sheetName val="HGH"/>
      <sheetName val="HGF"/>
      <sheetName val="ALL 4～9"/>
      <sheetName val="ALL 4～3"/>
      <sheetName val="通期"/>
      <sheetName val="要員管理表"/>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集計"/>
    </sheetNames>
    <sheetDataSet>
      <sheetData sheetId="0">
        <row r="1">
          <cell r="A1" t="str">
            <v>12HIDUKE</v>
          </cell>
          <cell r="B1" t="str">
            <v>43期  10～3月度  月次報告</v>
          </cell>
        </row>
        <row r="2">
          <cell r="A2" t="str">
            <v>YOUIN_TITLE</v>
          </cell>
          <cell r="B2" t="str">
            <v>**3月度　要員の状況**</v>
          </cell>
        </row>
        <row r="6">
          <cell r="A6" t="str">
            <v>#JA2010101</v>
          </cell>
          <cell r="B6" t="str">
            <v>-</v>
          </cell>
          <cell r="C6">
            <v>1792178522</v>
          </cell>
          <cell r="D6">
            <v>1792178522</v>
          </cell>
          <cell r="E6">
            <v>0</v>
          </cell>
        </row>
        <row r="7">
          <cell r="A7" t="str">
            <v>$JA2010101</v>
          </cell>
          <cell r="B7" t="str">
            <v>-</v>
          </cell>
          <cell r="C7">
            <v>0</v>
          </cell>
          <cell r="D7">
            <v>0</v>
          </cell>
          <cell r="E7">
            <v>0</v>
          </cell>
        </row>
        <row r="8">
          <cell r="A8" t="str">
            <v>$JA2010108</v>
          </cell>
          <cell r="B8" t="str">
            <v>-</v>
          </cell>
          <cell r="C8">
            <v>0</v>
          </cell>
          <cell r="D8">
            <v>0</v>
          </cell>
          <cell r="E8">
            <v>0</v>
          </cell>
        </row>
        <row r="9">
          <cell r="A9" t="str">
            <v>$JA2010201</v>
          </cell>
          <cell r="B9" t="str">
            <v>-</v>
          </cell>
          <cell r="C9">
            <v>0</v>
          </cell>
          <cell r="D9">
            <v>0</v>
          </cell>
          <cell r="E9">
            <v>0</v>
          </cell>
        </row>
        <row r="10">
          <cell r="A10" t="str">
            <v>$JA2010202</v>
          </cell>
          <cell r="B10" t="str">
            <v>-</v>
          </cell>
          <cell r="C10">
            <v>0</v>
          </cell>
          <cell r="D10">
            <v>0</v>
          </cell>
          <cell r="E10">
            <v>0</v>
          </cell>
        </row>
        <row r="11">
          <cell r="A11" t="str">
            <v>$JA20202@@</v>
          </cell>
          <cell r="B11" t="str">
            <v>-</v>
          </cell>
          <cell r="C11">
            <v>0</v>
          </cell>
          <cell r="D11">
            <v>0</v>
          </cell>
          <cell r="E11">
            <v>0</v>
          </cell>
        </row>
        <row r="12">
          <cell r="A12" t="str">
            <v>$JA20204@@</v>
          </cell>
          <cell r="B12" t="str">
            <v>-</v>
          </cell>
          <cell r="C12">
            <v>0</v>
          </cell>
          <cell r="D12">
            <v>0</v>
          </cell>
          <cell r="E12">
            <v>0</v>
          </cell>
        </row>
        <row r="13">
          <cell r="A13" t="str">
            <v>#JA2010108</v>
          </cell>
          <cell r="B13" t="str">
            <v>-</v>
          </cell>
          <cell r="C13">
            <v>38075466</v>
          </cell>
          <cell r="D13">
            <v>38075466</v>
          </cell>
          <cell r="E13">
            <v>0</v>
          </cell>
        </row>
        <row r="14">
          <cell r="A14" t="str">
            <v>#JA2010201</v>
          </cell>
          <cell r="B14" t="str">
            <v>-</v>
          </cell>
          <cell r="C14">
            <v>52531348</v>
          </cell>
          <cell r="D14">
            <v>52531348</v>
          </cell>
          <cell r="E14">
            <v>0</v>
          </cell>
        </row>
        <row r="15">
          <cell r="A15" t="str">
            <v>#JA2010202</v>
          </cell>
          <cell r="B15" t="str">
            <v>-</v>
          </cell>
          <cell r="C15">
            <v>31577989</v>
          </cell>
          <cell r="D15">
            <v>31577989</v>
          </cell>
          <cell r="E15">
            <v>0</v>
          </cell>
        </row>
        <row r="16">
          <cell r="A16" t="str">
            <v>#JA20202@@</v>
          </cell>
          <cell r="B16" t="str">
            <v>-</v>
          </cell>
          <cell r="C16">
            <v>36059992</v>
          </cell>
          <cell r="D16">
            <v>36059992</v>
          </cell>
          <cell r="E16">
            <v>0</v>
          </cell>
        </row>
        <row r="17">
          <cell r="A17" t="str">
            <v>#JA20204@@</v>
          </cell>
          <cell r="B17" t="str">
            <v>-</v>
          </cell>
          <cell r="C17">
            <v>1133249171</v>
          </cell>
          <cell r="D17">
            <v>1133249171</v>
          </cell>
          <cell r="E17">
            <v>0</v>
          </cell>
        </row>
        <row r="18">
          <cell r="A18" t="str">
            <v>AIC1</v>
          </cell>
          <cell r="B18" t="str">
            <v>-</v>
          </cell>
          <cell r="C18">
            <v>3857</v>
          </cell>
          <cell r="D18">
            <v>642</v>
          </cell>
          <cell r="E18">
            <v>645</v>
          </cell>
        </row>
        <row r="19">
          <cell r="A19" t="str">
            <v>AIK1</v>
          </cell>
          <cell r="B19" t="str">
            <v>-</v>
          </cell>
          <cell r="C19">
            <v>3309</v>
          </cell>
          <cell r="D19">
            <v>549</v>
          </cell>
          <cell r="E19">
            <v>550</v>
          </cell>
        </row>
        <row r="20">
          <cell r="A20" t="str">
            <v>AIS1</v>
          </cell>
          <cell r="B20" t="str">
            <v>-</v>
          </cell>
          <cell r="C20">
            <v>940</v>
          </cell>
          <cell r="D20">
            <v>153</v>
          </cell>
          <cell r="E20">
            <v>154</v>
          </cell>
        </row>
        <row r="21">
          <cell r="A21" t="str">
            <v>AIT1</v>
          </cell>
          <cell r="B21" t="str">
            <v>-</v>
          </cell>
          <cell r="C21">
            <v>304</v>
          </cell>
          <cell r="D21">
            <v>48</v>
          </cell>
          <cell r="E21">
            <v>49</v>
          </cell>
        </row>
        <row r="22">
          <cell r="A22" t="str">
            <v>AIZ1</v>
          </cell>
          <cell r="B22" t="str">
            <v>-</v>
          </cell>
          <cell r="C22">
            <v>1696</v>
          </cell>
          <cell r="D22">
            <v>277</v>
          </cell>
          <cell r="E22">
            <v>275</v>
          </cell>
        </row>
        <row r="23">
          <cell r="A23" t="str">
            <v>AJA2010101</v>
          </cell>
          <cell r="B23" t="str">
            <v>-</v>
          </cell>
          <cell r="C23">
            <v>5419383309</v>
          </cell>
          <cell r="D23">
            <v>976324903</v>
          </cell>
          <cell r="E23">
            <v>1004048389</v>
          </cell>
        </row>
        <row r="24">
          <cell r="A24" t="str">
            <v>AJA2010102</v>
          </cell>
          <cell r="B24" t="str">
            <v>-</v>
          </cell>
          <cell r="C24">
            <v>18700000</v>
          </cell>
          <cell r="D24">
            <v>0</v>
          </cell>
          <cell r="E24">
            <v>0</v>
          </cell>
        </row>
        <row r="25">
          <cell r="A25" t="str">
            <v>AJA2010103</v>
          </cell>
          <cell r="B25" t="str">
            <v>-</v>
          </cell>
          <cell r="C25">
            <v>773366291</v>
          </cell>
          <cell r="D25">
            <v>773366291</v>
          </cell>
          <cell r="E25">
            <v>0</v>
          </cell>
        </row>
        <row r="26">
          <cell r="A26" t="str">
            <v>AJA2010104</v>
          </cell>
          <cell r="B26" t="str">
            <v>_</v>
          </cell>
          <cell r="C26">
            <v>599739600</v>
          </cell>
          <cell r="D26">
            <v>599739600</v>
          </cell>
          <cell r="E26">
            <v>0</v>
          </cell>
        </row>
        <row r="27">
          <cell r="A27" t="str">
            <v>AJA2010106</v>
          </cell>
          <cell r="B27" t="str">
            <v>-</v>
          </cell>
          <cell r="C27">
            <v>49199854</v>
          </cell>
          <cell r="D27">
            <v>1760353</v>
          </cell>
          <cell r="E27">
            <v>17264505</v>
          </cell>
        </row>
        <row r="28">
          <cell r="A28" t="str">
            <v>AJA2010107</v>
          </cell>
          <cell r="B28" t="str">
            <v>-</v>
          </cell>
          <cell r="C28">
            <v>138384241</v>
          </cell>
          <cell r="D28">
            <v>-10746349</v>
          </cell>
          <cell r="E28">
            <v>29776858</v>
          </cell>
        </row>
        <row r="29">
          <cell r="A29" t="str">
            <v>AJA2010108</v>
          </cell>
          <cell r="B29" t="str">
            <v>-</v>
          </cell>
          <cell r="C29">
            <v>139984282</v>
          </cell>
          <cell r="D29">
            <v>30253207</v>
          </cell>
          <cell r="E29">
            <v>26169882</v>
          </cell>
        </row>
        <row r="30">
          <cell r="A30" t="str">
            <v>AJA2010201</v>
          </cell>
          <cell r="B30" t="str">
            <v>-</v>
          </cell>
          <cell r="C30">
            <v>459199802</v>
          </cell>
          <cell r="D30">
            <v>98134102</v>
          </cell>
          <cell r="E30">
            <v>84736106</v>
          </cell>
        </row>
        <row r="31">
          <cell r="A31" t="str">
            <v>AJA2010202</v>
          </cell>
          <cell r="B31" t="str">
            <v>-</v>
          </cell>
          <cell r="C31">
            <v>346338187</v>
          </cell>
          <cell r="D31">
            <v>90685391</v>
          </cell>
          <cell r="E31">
            <v>59468229</v>
          </cell>
        </row>
        <row r="32">
          <cell r="A32" t="str">
            <v>AJA20201@@</v>
          </cell>
          <cell r="B32" t="str">
            <v>-</v>
          </cell>
          <cell r="C32">
            <v>8787532216</v>
          </cell>
          <cell r="D32">
            <v>1512765491</v>
          </cell>
          <cell r="E32">
            <v>1493611511</v>
          </cell>
        </row>
        <row r="33">
          <cell r="A33" t="str">
            <v>AJA20202@@</v>
          </cell>
          <cell r="B33" t="str">
            <v>-</v>
          </cell>
          <cell r="C33">
            <v>592961961</v>
          </cell>
          <cell r="D33">
            <v>107223911</v>
          </cell>
          <cell r="E33">
            <v>99851757</v>
          </cell>
        </row>
        <row r="34">
          <cell r="A34" t="str">
            <v>AJA2020301</v>
          </cell>
          <cell r="B34" t="str">
            <v>-</v>
          </cell>
          <cell r="C34">
            <v>447001324</v>
          </cell>
          <cell r="D34">
            <v>72019119</v>
          </cell>
          <cell r="E34">
            <v>71522000</v>
          </cell>
        </row>
        <row r="35">
          <cell r="A35" t="str">
            <v>AJA2020302</v>
          </cell>
          <cell r="B35" t="str">
            <v>-</v>
          </cell>
          <cell r="C35">
            <v>392539206</v>
          </cell>
          <cell r="D35">
            <v>44423201</v>
          </cell>
          <cell r="E35">
            <v>69623201</v>
          </cell>
        </row>
        <row r="36">
          <cell r="A36" t="str">
            <v>AJA2020303</v>
          </cell>
          <cell r="B36" t="str">
            <v>-</v>
          </cell>
          <cell r="C36">
            <v>319519766</v>
          </cell>
          <cell r="D36">
            <v>95096139</v>
          </cell>
          <cell r="E36">
            <v>50164350</v>
          </cell>
        </row>
        <row r="37">
          <cell r="A37" t="str">
            <v>AJA20204@@</v>
          </cell>
          <cell r="B37" t="str">
            <v>-</v>
          </cell>
          <cell r="C37">
            <v>1747452207</v>
          </cell>
          <cell r="D37">
            <v>464856969</v>
          </cell>
          <cell r="E37">
            <v>321839124</v>
          </cell>
        </row>
        <row r="38">
          <cell r="A38" t="str">
            <v>AJA2020502</v>
          </cell>
          <cell r="B38" t="str">
            <v>-</v>
          </cell>
          <cell r="C38">
            <v>193603364</v>
          </cell>
          <cell r="D38">
            <v>36443506</v>
          </cell>
          <cell r="E38">
            <v>37554395</v>
          </cell>
        </row>
        <row r="39">
          <cell r="A39" t="str">
            <v>AJA2020503</v>
          </cell>
          <cell r="B39" t="str">
            <v>-</v>
          </cell>
          <cell r="C39">
            <v>486557063</v>
          </cell>
          <cell r="D39">
            <v>146480028</v>
          </cell>
          <cell r="E39">
            <v>75800879</v>
          </cell>
        </row>
        <row r="40">
          <cell r="A40" t="str">
            <v>AJA2020504</v>
          </cell>
          <cell r="B40" t="str">
            <v>-</v>
          </cell>
          <cell r="C40">
            <v>-9112385</v>
          </cell>
          <cell r="D40">
            <v>-3029013</v>
          </cell>
          <cell r="E40">
            <v>-708273</v>
          </cell>
        </row>
        <row r="41">
          <cell r="A41" t="str">
            <v>AJA2020505</v>
          </cell>
          <cell r="B41" t="str">
            <v>-</v>
          </cell>
          <cell r="C41">
            <v>33264320</v>
          </cell>
          <cell r="D41">
            <v>3844315</v>
          </cell>
          <cell r="E41">
            <v>13876083</v>
          </cell>
        </row>
        <row r="42">
          <cell r="A42" t="str">
            <v>FIK1</v>
          </cell>
          <cell r="B42" t="str">
            <v>-</v>
          </cell>
          <cell r="C42">
            <v>2224</v>
          </cell>
          <cell r="D42">
            <v>368</v>
          </cell>
          <cell r="E42">
            <v>370</v>
          </cell>
        </row>
        <row r="43">
          <cell r="A43" t="str">
            <v>FIS1</v>
          </cell>
          <cell r="B43" t="str">
            <v>-</v>
          </cell>
          <cell r="C43">
            <v>0</v>
          </cell>
          <cell r="D43">
            <v>0</v>
          </cell>
          <cell r="E43">
            <v>0</v>
          </cell>
        </row>
        <row r="44">
          <cell r="A44" t="str">
            <v>FIZ1</v>
          </cell>
          <cell r="B44" t="str">
            <v>-</v>
          </cell>
          <cell r="C44">
            <v>188</v>
          </cell>
          <cell r="D44">
            <v>32</v>
          </cell>
          <cell r="E44">
            <v>31</v>
          </cell>
        </row>
        <row r="45">
          <cell r="A45" t="str">
            <v>FJA2010101</v>
          </cell>
          <cell r="B45" t="str">
            <v>-</v>
          </cell>
          <cell r="C45">
            <v>1241219486</v>
          </cell>
          <cell r="D45">
            <v>500193532</v>
          </cell>
          <cell r="E45">
            <v>243838600</v>
          </cell>
        </row>
        <row r="46">
          <cell r="A46" t="str">
            <v>FJA2010103</v>
          </cell>
          <cell r="B46" t="str">
            <v>-</v>
          </cell>
          <cell r="C46">
            <v>116562873</v>
          </cell>
          <cell r="D46">
            <v>116562873</v>
          </cell>
          <cell r="E46">
            <v>0</v>
          </cell>
        </row>
        <row r="47">
          <cell r="A47" t="str">
            <v>FJA2010106</v>
          </cell>
          <cell r="B47" t="str">
            <v>-</v>
          </cell>
          <cell r="C47">
            <v>402792879</v>
          </cell>
          <cell r="D47">
            <v>322606765</v>
          </cell>
          <cell r="E47">
            <v>5820381</v>
          </cell>
        </row>
        <row r="48">
          <cell r="A48" t="str">
            <v>FJA2010107</v>
          </cell>
          <cell r="B48" t="str">
            <v>-</v>
          </cell>
          <cell r="C48">
            <v>38579216</v>
          </cell>
          <cell r="D48">
            <v>28020724</v>
          </cell>
          <cell r="E48">
            <v>7893520</v>
          </cell>
        </row>
        <row r="49">
          <cell r="A49" t="str">
            <v>FJA2010108</v>
          </cell>
          <cell r="B49" t="str">
            <v>-</v>
          </cell>
          <cell r="C49">
            <v>3621041</v>
          </cell>
          <cell r="D49">
            <v>1465634</v>
          </cell>
          <cell r="E49">
            <v>482662</v>
          </cell>
        </row>
        <row r="50">
          <cell r="A50" t="str">
            <v>FJA2010201</v>
          </cell>
          <cell r="B50" t="str">
            <v>-</v>
          </cell>
          <cell r="C50">
            <v>226516975</v>
          </cell>
          <cell r="D50">
            <v>80792986</v>
          </cell>
          <cell r="E50">
            <v>44251467</v>
          </cell>
        </row>
        <row r="51">
          <cell r="A51" t="str">
            <v>FJA2010202</v>
          </cell>
          <cell r="B51" t="str">
            <v>-</v>
          </cell>
          <cell r="C51">
            <v>95462622</v>
          </cell>
          <cell r="D51">
            <v>25990982</v>
          </cell>
          <cell r="E51">
            <v>14709407</v>
          </cell>
        </row>
        <row r="52">
          <cell r="A52" t="str">
            <v>FJA20201@@</v>
          </cell>
          <cell r="B52" t="str">
            <v>-</v>
          </cell>
          <cell r="C52">
            <v>1794513487</v>
          </cell>
          <cell r="D52">
            <v>298761585</v>
          </cell>
          <cell r="E52">
            <v>300073296</v>
          </cell>
        </row>
        <row r="53">
          <cell r="A53" t="str">
            <v>FJA20202@@</v>
          </cell>
          <cell r="B53" t="str">
            <v>-</v>
          </cell>
          <cell r="C53">
            <v>265533106</v>
          </cell>
          <cell r="D53">
            <v>58821840</v>
          </cell>
          <cell r="E53">
            <v>56013917</v>
          </cell>
        </row>
        <row r="54">
          <cell r="A54" t="str">
            <v>FJA2020301</v>
          </cell>
          <cell r="B54" t="str">
            <v>-</v>
          </cell>
          <cell r="C54">
            <v>464338685</v>
          </cell>
          <cell r="D54">
            <v>174199656</v>
          </cell>
          <cell r="E54">
            <v>54099600</v>
          </cell>
        </row>
        <row r="55">
          <cell r="A55" t="str">
            <v>FJA2020302</v>
          </cell>
          <cell r="B55" t="str">
            <v>-</v>
          </cell>
          <cell r="C55">
            <v>122899141</v>
          </cell>
          <cell r="D55">
            <v>24586677</v>
          </cell>
          <cell r="E55">
            <v>20635376</v>
          </cell>
        </row>
        <row r="56">
          <cell r="A56" t="str">
            <v>FJA2020303</v>
          </cell>
          <cell r="B56" t="str">
            <v>-</v>
          </cell>
          <cell r="C56">
            <v>164945159</v>
          </cell>
          <cell r="D56">
            <v>35291663</v>
          </cell>
          <cell r="E56">
            <v>27566318</v>
          </cell>
        </row>
        <row r="57">
          <cell r="A57" t="str">
            <v>FJA20204@@</v>
          </cell>
          <cell r="B57" t="str">
            <v>-</v>
          </cell>
          <cell r="C57">
            <v>983611510</v>
          </cell>
          <cell r="D57">
            <v>393904608</v>
          </cell>
          <cell r="E57">
            <v>151063105</v>
          </cell>
        </row>
        <row r="58">
          <cell r="A58" t="str">
            <v>GIC1</v>
          </cell>
          <cell r="B58" t="str">
            <v>-</v>
          </cell>
          <cell r="C58">
            <v>7906</v>
          </cell>
          <cell r="D58">
            <v>1318</v>
          </cell>
          <cell r="E58">
            <v>1316</v>
          </cell>
        </row>
        <row r="59">
          <cell r="A59" t="str">
            <v>GIK1</v>
          </cell>
          <cell r="B59" t="str">
            <v>-</v>
          </cell>
          <cell r="C59">
            <v>13609</v>
          </cell>
          <cell r="D59">
            <v>2267</v>
          </cell>
          <cell r="E59">
            <v>2271</v>
          </cell>
        </row>
        <row r="60">
          <cell r="A60" t="str">
            <v>GIS1</v>
          </cell>
          <cell r="B60" t="str">
            <v>-</v>
          </cell>
          <cell r="C60">
            <v>2367</v>
          </cell>
          <cell r="D60">
            <v>359</v>
          </cell>
          <cell r="E60">
            <v>360</v>
          </cell>
        </row>
        <row r="61">
          <cell r="A61" t="str">
            <v>GIT1</v>
          </cell>
          <cell r="B61" t="str">
            <v>-</v>
          </cell>
          <cell r="C61">
            <v>294</v>
          </cell>
          <cell r="D61">
            <v>48</v>
          </cell>
          <cell r="E61">
            <v>48</v>
          </cell>
        </row>
        <row r="62">
          <cell r="A62" t="str">
            <v>GIZ1</v>
          </cell>
          <cell r="B62" t="str">
            <v>-</v>
          </cell>
          <cell r="C62">
            <v>5668</v>
          </cell>
          <cell r="D62">
            <v>953</v>
          </cell>
          <cell r="E62">
            <v>949</v>
          </cell>
        </row>
        <row r="63">
          <cell r="A63" t="str">
            <v>GJA2010101</v>
          </cell>
          <cell r="B63" t="str">
            <v>-</v>
          </cell>
          <cell r="C63">
            <v>12201463923</v>
          </cell>
          <cell r="D63">
            <v>1660833626</v>
          </cell>
          <cell r="E63">
            <v>1603998487</v>
          </cell>
        </row>
        <row r="64">
          <cell r="A64" t="str">
            <v>GJA2010102</v>
          </cell>
          <cell r="B64" t="str">
            <v>-</v>
          </cell>
          <cell r="C64">
            <v>141975757</v>
          </cell>
          <cell r="D64">
            <v>24249752</v>
          </cell>
          <cell r="E64">
            <v>30609466</v>
          </cell>
        </row>
        <row r="65">
          <cell r="A65" t="str">
            <v>GJA2010103</v>
          </cell>
          <cell r="B65" t="str">
            <v>-</v>
          </cell>
          <cell r="C65">
            <v>11553852276</v>
          </cell>
          <cell r="D65">
            <v>11553852276</v>
          </cell>
          <cell r="E65">
            <v>0</v>
          </cell>
        </row>
        <row r="66">
          <cell r="A66" t="str">
            <v>GJA2010104</v>
          </cell>
          <cell r="B66" t="str">
            <v>_</v>
          </cell>
          <cell r="C66">
            <v>852117794</v>
          </cell>
          <cell r="D66">
            <v>852117794</v>
          </cell>
          <cell r="E66">
            <v>0</v>
          </cell>
        </row>
        <row r="67">
          <cell r="A67" t="str">
            <v>GJA2010105</v>
          </cell>
          <cell r="B67" t="str">
            <v>_</v>
          </cell>
          <cell r="C67">
            <v>869204325</v>
          </cell>
          <cell r="D67">
            <v>869204325</v>
          </cell>
          <cell r="E67">
            <v>0</v>
          </cell>
        </row>
        <row r="68">
          <cell r="A68" t="str">
            <v>GJA2010106</v>
          </cell>
          <cell r="B68" t="str">
            <v>-</v>
          </cell>
          <cell r="C68">
            <v>512436605</v>
          </cell>
          <cell r="D68">
            <v>100129491</v>
          </cell>
          <cell r="E68">
            <v>40922484</v>
          </cell>
        </row>
        <row r="69">
          <cell r="A69" t="str">
            <v>GJA2010107</v>
          </cell>
          <cell r="B69" t="str">
            <v>-</v>
          </cell>
          <cell r="C69">
            <v>1797680120</v>
          </cell>
          <cell r="D69">
            <v>1030372366</v>
          </cell>
          <cell r="E69">
            <v>76468838</v>
          </cell>
        </row>
        <row r="70">
          <cell r="A70" t="str">
            <v>GJA2010108</v>
          </cell>
          <cell r="B70" t="str">
            <v>-</v>
          </cell>
          <cell r="C70">
            <v>230534000</v>
          </cell>
          <cell r="D70">
            <v>82610290</v>
          </cell>
          <cell r="E70">
            <v>15068735</v>
          </cell>
        </row>
        <row r="71">
          <cell r="A71" t="str">
            <v>GJA2010109</v>
          </cell>
          <cell r="B71" t="str">
            <v>_</v>
          </cell>
          <cell r="C71">
            <v>1922646728</v>
          </cell>
          <cell r="D71">
            <v>437154714</v>
          </cell>
          <cell r="E71">
            <v>-106795104</v>
          </cell>
        </row>
        <row r="72">
          <cell r="A72" t="str">
            <v>GJA2010201</v>
          </cell>
          <cell r="B72" t="str">
            <v>-</v>
          </cell>
          <cell r="C72">
            <v>1610452717</v>
          </cell>
          <cell r="D72">
            <v>351343683</v>
          </cell>
          <cell r="E72">
            <v>302116191</v>
          </cell>
        </row>
        <row r="73">
          <cell r="A73" t="str">
            <v>GJA2010202</v>
          </cell>
          <cell r="B73" t="str">
            <v>-</v>
          </cell>
          <cell r="C73">
            <v>1206948480</v>
          </cell>
          <cell r="D73">
            <v>338794846</v>
          </cell>
          <cell r="E73">
            <v>213224863</v>
          </cell>
        </row>
        <row r="74">
          <cell r="A74" t="str">
            <v>GJA2010203</v>
          </cell>
          <cell r="B74" t="str">
            <v>_</v>
          </cell>
          <cell r="C74">
            <v>506034619</v>
          </cell>
          <cell r="D74">
            <v>127000129</v>
          </cell>
          <cell r="E74">
            <v>87929892</v>
          </cell>
        </row>
        <row r="75">
          <cell r="A75" t="str">
            <v>GJA20201@@</v>
          </cell>
          <cell r="B75" t="str">
            <v>-</v>
          </cell>
          <cell r="C75">
            <v>23261366283</v>
          </cell>
          <cell r="D75">
            <v>4073374284</v>
          </cell>
          <cell r="E75">
            <v>3707786255</v>
          </cell>
        </row>
        <row r="76">
          <cell r="A76" t="str">
            <v>GJA20202@@</v>
          </cell>
          <cell r="B76" t="str">
            <v>-</v>
          </cell>
          <cell r="C76">
            <v>2248692110</v>
          </cell>
          <cell r="D76">
            <v>441341742</v>
          </cell>
          <cell r="E76">
            <v>412096448</v>
          </cell>
        </row>
        <row r="77">
          <cell r="A77" t="str">
            <v>GJA2020301</v>
          </cell>
          <cell r="B77" t="str">
            <v>-</v>
          </cell>
          <cell r="C77">
            <v>2155104715</v>
          </cell>
          <cell r="D77">
            <v>586714451</v>
          </cell>
          <cell r="E77">
            <v>342925799</v>
          </cell>
        </row>
        <row r="78">
          <cell r="A78" t="str">
            <v>GJA2020302</v>
          </cell>
          <cell r="B78" t="str">
            <v>-</v>
          </cell>
          <cell r="C78">
            <v>1876082132</v>
          </cell>
          <cell r="D78">
            <v>312749264</v>
          </cell>
          <cell r="E78">
            <v>312901192</v>
          </cell>
        </row>
        <row r="79">
          <cell r="A79" t="str">
            <v>GJA2020303</v>
          </cell>
          <cell r="B79" t="str">
            <v>-</v>
          </cell>
          <cell r="C79">
            <v>797923120</v>
          </cell>
          <cell r="D79">
            <v>182263831</v>
          </cell>
          <cell r="E79">
            <v>105274373</v>
          </cell>
        </row>
        <row r="80">
          <cell r="A80" t="str">
            <v>GJA20204@@</v>
          </cell>
          <cell r="B80" t="str">
            <v>-</v>
          </cell>
          <cell r="C80">
            <v>8316990690</v>
          </cell>
          <cell r="D80">
            <v>2300562808</v>
          </cell>
          <cell r="E80">
            <v>1392060451</v>
          </cell>
        </row>
        <row r="81">
          <cell r="A81" t="str">
            <v>GJA2020501</v>
          </cell>
          <cell r="B81" t="str">
            <v>-</v>
          </cell>
          <cell r="C81">
            <v>-160187400</v>
          </cell>
          <cell r="D81">
            <v>-160187400</v>
          </cell>
          <cell r="E81">
            <v>0</v>
          </cell>
        </row>
        <row r="82">
          <cell r="A82" t="str">
            <v>GJA2020502</v>
          </cell>
          <cell r="B82" t="str">
            <v>-</v>
          </cell>
          <cell r="C82">
            <v>1615495952</v>
          </cell>
          <cell r="D82">
            <v>274305035</v>
          </cell>
          <cell r="E82">
            <v>264237283</v>
          </cell>
        </row>
        <row r="83">
          <cell r="A83" t="str">
            <v>GJA2020503</v>
          </cell>
          <cell r="B83" t="str">
            <v>-</v>
          </cell>
          <cell r="C83">
            <v>148541303</v>
          </cell>
          <cell r="D83">
            <v>43676023</v>
          </cell>
          <cell r="E83">
            <v>25085840</v>
          </cell>
        </row>
        <row r="84">
          <cell r="A84" t="str">
            <v>GJA2020504</v>
          </cell>
          <cell r="B84" t="str">
            <v>-</v>
          </cell>
          <cell r="C84">
            <v>-13170343</v>
          </cell>
          <cell r="D84">
            <v>-8630401</v>
          </cell>
          <cell r="E84">
            <v>-5619596</v>
          </cell>
        </row>
        <row r="85">
          <cell r="A85" t="str">
            <v>GJA2020505</v>
          </cell>
          <cell r="B85" t="str">
            <v>-</v>
          </cell>
          <cell r="C85">
            <v>212775026</v>
          </cell>
          <cell r="D85">
            <v>41410450</v>
          </cell>
          <cell r="E85">
            <v>2887637</v>
          </cell>
        </row>
        <row r="86">
          <cell r="A86" t="str">
            <v>GYA2010101</v>
          </cell>
          <cell r="B86" t="str">
            <v>-</v>
          </cell>
          <cell r="C86">
            <v>7787565000</v>
          </cell>
          <cell r="D86">
            <v>656860000</v>
          </cell>
          <cell r="E86">
            <v>742915000</v>
          </cell>
        </row>
        <row r="87">
          <cell r="A87" t="str">
            <v>GYA2010102</v>
          </cell>
          <cell r="B87" t="str">
            <v>-</v>
          </cell>
          <cell r="C87">
            <v>184993000</v>
          </cell>
          <cell r="D87">
            <v>22578000</v>
          </cell>
          <cell r="E87">
            <v>12615000</v>
          </cell>
        </row>
        <row r="88">
          <cell r="A88" t="str">
            <v>GYA2010106</v>
          </cell>
          <cell r="B88" t="str">
            <v>-</v>
          </cell>
          <cell r="C88">
            <v>400456000</v>
          </cell>
          <cell r="D88">
            <v>87156000</v>
          </cell>
          <cell r="E88">
            <v>27104000</v>
          </cell>
        </row>
        <row r="89">
          <cell r="A89" t="str">
            <v>GYA2010107</v>
          </cell>
          <cell r="B89" t="str">
            <v>-</v>
          </cell>
          <cell r="C89">
            <v>1096368000</v>
          </cell>
          <cell r="D89">
            <v>228903000</v>
          </cell>
          <cell r="E89">
            <v>284490000</v>
          </cell>
        </row>
        <row r="90">
          <cell r="A90" t="str">
            <v>GYA2010108</v>
          </cell>
          <cell r="B90" t="str">
            <v>-</v>
          </cell>
          <cell r="C90">
            <v>470260000</v>
          </cell>
          <cell r="D90">
            <v>118700000</v>
          </cell>
          <cell r="E90">
            <v>76900000</v>
          </cell>
        </row>
        <row r="91">
          <cell r="A91" t="str">
            <v>GYA2010201</v>
          </cell>
          <cell r="B91" t="str">
            <v>-</v>
          </cell>
          <cell r="C91">
            <v>1602313000</v>
          </cell>
          <cell r="D91">
            <v>252840000</v>
          </cell>
          <cell r="E91">
            <v>278348000</v>
          </cell>
        </row>
        <row r="92">
          <cell r="A92" t="str">
            <v>GYA2010202</v>
          </cell>
          <cell r="B92" t="str">
            <v>-</v>
          </cell>
          <cell r="C92">
            <v>827522000</v>
          </cell>
          <cell r="D92">
            <v>68436000</v>
          </cell>
          <cell r="E92">
            <v>196509000</v>
          </cell>
        </row>
        <row r="93">
          <cell r="A93" t="str">
            <v>GYA20201@@</v>
          </cell>
          <cell r="B93" t="str">
            <v>-</v>
          </cell>
          <cell r="C93">
            <v>22596683000</v>
          </cell>
          <cell r="D93">
            <v>3750997000</v>
          </cell>
          <cell r="E93">
            <v>3716918000</v>
          </cell>
        </row>
        <row r="94">
          <cell r="A94" t="str">
            <v>GYA20202@@</v>
          </cell>
          <cell r="B94" t="str">
            <v>-</v>
          </cell>
          <cell r="C94">
            <v>2466767000</v>
          </cell>
          <cell r="D94">
            <v>418789000</v>
          </cell>
          <cell r="E94">
            <v>400873000</v>
          </cell>
        </row>
        <row r="95">
          <cell r="A95" t="str">
            <v>GYA2020301</v>
          </cell>
          <cell r="B95" t="str">
            <v>-</v>
          </cell>
          <cell r="C95">
            <v>2228010000</v>
          </cell>
          <cell r="D95">
            <v>461662000</v>
          </cell>
          <cell r="E95">
            <v>396053000</v>
          </cell>
        </row>
        <row r="96">
          <cell r="A96" t="str">
            <v>GYA2020302</v>
          </cell>
          <cell r="B96" t="str">
            <v>-</v>
          </cell>
          <cell r="C96">
            <v>1875762000</v>
          </cell>
          <cell r="D96">
            <v>312627000</v>
          </cell>
          <cell r="E96">
            <v>312627000</v>
          </cell>
        </row>
        <row r="97">
          <cell r="A97" t="str">
            <v>GYA2020303</v>
          </cell>
          <cell r="B97" t="str">
            <v>-</v>
          </cell>
          <cell r="C97">
            <v>791342000</v>
          </cell>
          <cell r="D97">
            <v>153799000</v>
          </cell>
          <cell r="E97">
            <v>115052000</v>
          </cell>
        </row>
        <row r="98">
          <cell r="A98" t="str">
            <v>GYA20204@@</v>
          </cell>
          <cell r="B98" t="str">
            <v>-</v>
          </cell>
          <cell r="C98">
            <v>8209425000</v>
          </cell>
          <cell r="D98">
            <v>1473900000</v>
          </cell>
          <cell r="E98">
            <v>1406291000</v>
          </cell>
        </row>
        <row r="99">
          <cell r="A99" t="str">
            <v>GYA2020501</v>
          </cell>
          <cell r="B99" t="str">
            <v>-</v>
          </cell>
          <cell r="C99">
            <v>-78676000</v>
          </cell>
          <cell r="D99">
            <v>-78676000</v>
          </cell>
          <cell r="E99">
            <v>0</v>
          </cell>
        </row>
        <row r="100">
          <cell r="A100" t="str">
            <v>GYA2020504</v>
          </cell>
          <cell r="B100" t="str">
            <v>-</v>
          </cell>
          <cell r="C100">
            <v>-21387000</v>
          </cell>
          <cell r="D100">
            <v>-14283000</v>
          </cell>
          <cell r="E100">
            <v>-433000</v>
          </cell>
        </row>
        <row r="101">
          <cell r="A101" t="str">
            <v>GYA2020505</v>
          </cell>
          <cell r="B101" t="str">
            <v>-</v>
          </cell>
          <cell r="C101">
            <v>198884000</v>
          </cell>
          <cell r="D101">
            <v>198884000</v>
          </cell>
          <cell r="E101">
            <v>0</v>
          </cell>
        </row>
        <row r="102">
          <cell r="A102" t="str">
            <v>HIC1</v>
          </cell>
          <cell r="B102" t="str">
            <v>-</v>
          </cell>
          <cell r="C102">
            <v>780</v>
          </cell>
          <cell r="D102">
            <v>130</v>
          </cell>
          <cell r="E102">
            <v>129</v>
          </cell>
        </row>
        <row r="103">
          <cell r="A103" t="str">
            <v>HIK1</v>
          </cell>
          <cell r="B103" t="str">
            <v>-</v>
          </cell>
          <cell r="C103">
            <v>860</v>
          </cell>
          <cell r="D103">
            <v>142</v>
          </cell>
          <cell r="E103">
            <v>143</v>
          </cell>
        </row>
        <row r="104">
          <cell r="A104" t="str">
            <v>HIT1</v>
          </cell>
          <cell r="B104" t="str">
            <v>-</v>
          </cell>
          <cell r="C104">
            <v>52</v>
          </cell>
          <cell r="D104">
            <v>8</v>
          </cell>
          <cell r="E104">
            <v>8</v>
          </cell>
        </row>
        <row r="105">
          <cell r="A105" t="str">
            <v>HIZ1</v>
          </cell>
          <cell r="B105" t="str">
            <v>-</v>
          </cell>
          <cell r="C105">
            <v>274</v>
          </cell>
          <cell r="D105">
            <v>45</v>
          </cell>
          <cell r="E105">
            <v>46</v>
          </cell>
        </row>
        <row r="106">
          <cell r="A106" t="str">
            <v>HJA2010101</v>
          </cell>
          <cell r="B106" t="str">
            <v>-</v>
          </cell>
          <cell r="C106">
            <v>535421383</v>
          </cell>
          <cell r="D106">
            <v>138738579</v>
          </cell>
          <cell r="E106">
            <v>58110442</v>
          </cell>
        </row>
        <row r="107">
          <cell r="A107" t="str">
            <v>HJA2010102</v>
          </cell>
          <cell r="B107" t="str">
            <v>-</v>
          </cell>
          <cell r="C107">
            <v>2000000</v>
          </cell>
          <cell r="D107">
            <v>2000000</v>
          </cell>
          <cell r="E107">
            <v>0</v>
          </cell>
        </row>
        <row r="108">
          <cell r="A108" t="str">
            <v>HJA2010103</v>
          </cell>
          <cell r="B108" t="str">
            <v>-</v>
          </cell>
          <cell r="C108">
            <v>241463749</v>
          </cell>
          <cell r="D108">
            <v>241463749</v>
          </cell>
          <cell r="E108">
            <v>0</v>
          </cell>
        </row>
        <row r="109">
          <cell r="A109" t="str">
            <v>HJA2010106</v>
          </cell>
          <cell r="B109" t="str">
            <v>-</v>
          </cell>
          <cell r="C109">
            <v>45269755</v>
          </cell>
          <cell r="D109">
            <v>24400000</v>
          </cell>
          <cell r="E109">
            <v>0</v>
          </cell>
        </row>
        <row r="110">
          <cell r="A110" t="str">
            <v>HJA2010107</v>
          </cell>
          <cell r="B110" t="str">
            <v>-</v>
          </cell>
          <cell r="C110">
            <v>23505396</v>
          </cell>
          <cell r="D110">
            <v>4964496</v>
          </cell>
          <cell r="E110">
            <v>7216625</v>
          </cell>
        </row>
        <row r="111">
          <cell r="A111" t="str">
            <v>HJA2010108</v>
          </cell>
          <cell r="B111" t="str">
            <v>-</v>
          </cell>
          <cell r="C111">
            <v>2994591</v>
          </cell>
          <cell r="D111">
            <v>428089</v>
          </cell>
          <cell r="E111">
            <v>315814</v>
          </cell>
        </row>
        <row r="112">
          <cell r="A112" t="str">
            <v>HJA2010201</v>
          </cell>
          <cell r="B112" t="str">
            <v>-</v>
          </cell>
          <cell r="C112">
            <v>83103813</v>
          </cell>
          <cell r="D112">
            <v>16899666</v>
          </cell>
          <cell r="E112">
            <v>12215698</v>
          </cell>
        </row>
        <row r="113">
          <cell r="A113" t="str">
            <v>HJA2010202</v>
          </cell>
          <cell r="B113" t="str">
            <v>-</v>
          </cell>
          <cell r="C113">
            <v>30724157</v>
          </cell>
          <cell r="D113">
            <v>4366745</v>
          </cell>
          <cell r="E113">
            <v>5510916</v>
          </cell>
        </row>
        <row r="114">
          <cell r="A114" t="str">
            <v>HJA20201@@</v>
          </cell>
          <cell r="B114" t="str">
            <v>-</v>
          </cell>
          <cell r="C114">
            <v>1656166980</v>
          </cell>
          <cell r="D114">
            <v>280069145</v>
          </cell>
          <cell r="E114">
            <v>275055494</v>
          </cell>
        </row>
        <row r="115">
          <cell r="A115" t="str">
            <v>HJA20202@@</v>
          </cell>
          <cell r="B115" t="str">
            <v>-</v>
          </cell>
          <cell r="C115">
            <v>115871309</v>
          </cell>
          <cell r="D115">
            <v>18780114</v>
          </cell>
          <cell r="E115">
            <v>21080519</v>
          </cell>
        </row>
        <row r="116">
          <cell r="A116" t="str">
            <v>HJA2020301</v>
          </cell>
          <cell r="B116" t="str">
            <v>-</v>
          </cell>
          <cell r="C116">
            <v>123505272</v>
          </cell>
          <cell r="D116">
            <v>38246536</v>
          </cell>
          <cell r="E116">
            <v>20470000</v>
          </cell>
        </row>
        <row r="117">
          <cell r="A117" t="str">
            <v>HJA2020302</v>
          </cell>
          <cell r="B117" t="str">
            <v>-</v>
          </cell>
          <cell r="C117">
            <v>125652000</v>
          </cell>
          <cell r="D117">
            <v>46092000</v>
          </cell>
          <cell r="E117">
            <v>15912000</v>
          </cell>
        </row>
        <row r="118">
          <cell r="A118" t="str">
            <v>HJA2020303</v>
          </cell>
          <cell r="B118" t="str">
            <v>-</v>
          </cell>
          <cell r="C118">
            <v>31741988</v>
          </cell>
          <cell r="D118">
            <v>9064102</v>
          </cell>
          <cell r="E118">
            <v>5744787</v>
          </cell>
        </row>
        <row r="119">
          <cell r="A119" t="str">
            <v>HJA20204@@</v>
          </cell>
          <cell r="B119" t="str">
            <v>-</v>
          </cell>
          <cell r="C119">
            <v>372434353</v>
          </cell>
          <cell r="D119">
            <v>93110997</v>
          </cell>
          <cell r="E119">
            <v>58325585</v>
          </cell>
        </row>
        <row r="120">
          <cell r="A120" t="str">
            <v>HJA2020502</v>
          </cell>
          <cell r="B120" t="str">
            <v>-</v>
          </cell>
          <cell r="C120">
            <v>2644387</v>
          </cell>
          <cell r="D120">
            <v>119183</v>
          </cell>
          <cell r="E120">
            <v>52875</v>
          </cell>
        </row>
        <row r="121">
          <cell r="A121" t="str">
            <v>HJA2020503</v>
          </cell>
          <cell r="B121" t="str">
            <v>-</v>
          </cell>
          <cell r="C121">
            <v>121905750</v>
          </cell>
          <cell r="D121">
            <v>62461455</v>
          </cell>
          <cell r="E121">
            <v>53296095</v>
          </cell>
        </row>
        <row r="122">
          <cell r="A122" t="str">
            <v>HJA2020504</v>
          </cell>
          <cell r="B122" t="str">
            <v>-</v>
          </cell>
          <cell r="C122">
            <v>-860905</v>
          </cell>
          <cell r="D122">
            <v>49012</v>
          </cell>
          <cell r="E122">
            <v>-1041942</v>
          </cell>
        </row>
        <row r="123">
          <cell r="A123" t="str">
            <v>HJA2020505</v>
          </cell>
          <cell r="B123" t="str">
            <v>-</v>
          </cell>
          <cell r="C123">
            <v>426165</v>
          </cell>
          <cell r="D123">
            <v>125250</v>
          </cell>
          <cell r="E123">
            <v>0</v>
          </cell>
        </row>
        <row r="124">
          <cell r="A124" t="str">
            <v>MMA1------</v>
          </cell>
          <cell r="B124" t="str">
            <v>受託研究料</v>
          </cell>
          <cell r="C124">
            <v>0</v>
          </cell>
          <cell r="D124">
            <v>0</v>
          </cell>
          <cell r="E124">
            <v>0</v>
          </cell>
        </row>
        <row r="125">
          <cell r="A125" t="str">
            <v>MMA2------</v>
          </cell>
          <cell r="B125" t="str">
            <v>費用</v>
          </cell>
          <cell r="C125">
            <v>0</v>
          </cell>
          <cell r="D125">
            <v>0</v>
          </cell>
          <cell r="E125">
            <v>0</v>
          </cell>
        </row>
        <row r="126">
          <cell r="A126" t="str">
            <v>MMA201----</v>
          </cell>
          <cell r="B126" t="str">
            <v>直接費</v>
          </cell>
          <cell r="C126">
            <v>0</v>
          </cell>
          <cell r="D126">
            <v>0</v>
          </cell>
          <cell r="E126">
            <v>0</v>
          </cell>
        </row>
        <row r="127">
          <cell r="A127" t="str">
            <v>MMA20101--</v>
          </cell>
          <cell r="B127" t="str">
            <v>材料費</v>
          </cell>
          <cell r="C127">
            <v>0</v>
          </cell>
          <cell r="D127">
            <v>0</v>
          </cell>
          <cell r="E127">
            <v>0</v>
          </cell>
        </row>
        <row r="128">
          <cell r="A128" t="str">
            <v>MMA2010101</v>
          </cell>
          <cell r="B128" t="str">
            <v>購入部品費</v>
          </cell>
          <cell r="C128">
            <v>0</v>
          </cell>
          <cell r="D128">
            <v>0</v>
          </cell>
          <cell r="E128">
            <v>0</v>
          </cell>
        </row>
        <row r="129">
          <cell r="A129" t="str">
            <v>MMA2010102</v>
          </cell>
          <cell r="B129" t="str">
            <v>委託研究費（Ｈ Gr）</v>
          </cell>
          <cell r="C129">
            <v>0</v>
          </cell>
          <cell r="D129">
            <v>0</v>
          </cell>
          <cell r="E129">
            <v>0</v>
          </cell>
        </row>
        <row r="130">
          <cell r="A130" t="str">
            <v>MMA2010103</v>
          </cell>
          <cell r="B130" t="str">
            <v>委託研究費（ＨＲＡ）</v>
          </cell>
          <cell r="C130">
            <v>0</v>
          </cell>
          <cell r="D130">
            <v>0</v>
          </cell>
          <cell r="E130">
            <v>0</v>
          </cell>
        </row>
        <row r="131">
          <cell r="A131" t="str">
            <v>MMA2010104</v>
          </cell>
          <cell r="B131" t="str">
            <v>委託研究費（ＨＲＥ－Ｇ）</v>
          </cell>
          <cell r="C131">
            <v>0</v>
          </cell>
          <cell r="D131">
            <v>0</v>
          </cell>
          <cell r="E131">
            <v>0</v>
          </cell>
        </row>
        <row r="132">
          <cell r="A132" t="str">
            <v>MMA2010105</v>
          </cell>
          <cell r="B132" t="str">
            <v>委託研究費（ＨＲＥ－ＵＫ）</v>
          </cell>
          <cell r="C132">
            <v>0</v>
          </cell>
          <cell r="D132">
            <v>0</v>
          </cell>
          <cell r="E132">
            <v>0</v>
          </cell>
        </row>
        <row r="133">
          <cell r="A133" t="str">
            <v>MMA2010106</v>
          </cell>
          <cell r="B133" t="str">
            <v>委託研究費（他）</v>
          </cell>
          <cell r="C133">
            <v>0</v>
          </cell>
          <cell r="D133">
            <v>0</v>
          </cell>
          <cell r="E133">
            <v>0</v>
          </cell>
        </row>
        <row r="134">
          <cell r="A134" t="str">
            <v>MMA2010107</v>
          </cell>
          <cell r="B134" t="str">
            <v>テスト車輌費</v>
          </cell>
          <cell r="C134">
            <v>0</v>
          </cell>
          <cell r="D134">
            <v>0</v>
          </cell>
          <cell r="E134">
            <v>0</v>
          </cell>
        </row>
        <row r="135">
          <cell r="A135" t="str">
            <v>MMA2010108</v>
          </cell>
          <cell r="B135" t="str">
            <v>その他材料費</v>
          </cell>
          <cell r="C135">
            <v>0</v>
          </cell>
          <cell r="D135">
            <v>0</v>
          </cell>
          <cell r="E135">
            <v>0</v>
          </cell>
        </row>
        <row r="136">
          <cell r="A136" t="str">
            <v>MMA2010109</v>
          </cell>
          <cell r="B136" t="str">
            <v>材料費（Ｒ）</v>
          </cell>
          <cell r="C136">
            <v>0</v>
          </cell>
          <cell r="D136">
            <v>0</v>
          </cell>
          <cell r="E136">
            <v>0</v>
          </cell>
        </row>
        <row r="137">
          <cell r="A137" t="str">
            <v>MMA20102--</v>
          </cell>
          <cell r="B137" t="str">
            <v>テスト関係費</v>
          </cell>
          <cell r="C137">
            <v>0</v>
          </cell>
          <cell r="D137">
            <v>0</v>
          </cell>
          <cell r="E137">
            <v>0</v>
          </cell>
        </row>
        <row r="138">
          <cell r="A138" t="str">
            <v>MMA2010201</v>
          </cell>
          <cell r="B138" t="str">
            <v>国内テスト関係費</v>
          </cell>
          <cell r="C138">
            <v>0</v>
          </cell>
          <cell r="D138">
            <v>0</v>
          </cell>
          <cell r="E138">
            <v>0</v>
          </cell>
        </row>
        <row r="139">
          <cell r="A139" t="str">
            <v>MMA2010202</v>
          </cell>
          <cell r="B139" t="str">
            <v>海外テスト関係費</v>
          </cell>
          <cell r="C139">
            <v>0</v>
          </cell>
          <cell r="D139">
            <v>0</v>
          </cell>
          <cell r="E139">
            <v>0</v>
          </cell>
        </row>
        <row r="140">
          <cell r="A140" t="str">
            <v>MMA2010203</v>
          </cell>
          <cell r="B140" t="str">
            <v>テスト関係費（Ｒ）</v>
          </cell>
          <cell r="C140">
            <v>0</v>
          </cell>
          <cell r="D140">
            <v>0</v>
          </cell>
          <cell r="E140">
            <v>0</v>
          </cell>
        </row>
        <row r="141">
          <cell r="A141" t="str">
            <v>MMA202----</v>
          </cell>
          <cell r="B141" t="str">
            <v>間接費</v>
          </cell>
          <cell r="C141">
            <v>0</v>
          </cell>
          <cell r="D141">
            <v>0</v>
          </cell>
          <cell r="E141">
            <v>0</v>
          </cell>
        </row>
        <row r="142">
          <cell r="A142" t="str">
            <v>MMA20201--</v>
          </cell>
          <cell r="B142" t="str">
            <v>労務費</v>
          </cell>
          <cell r="C142">
            <v>0</v>
          </cell>
          <cell r="D142">
            <v>0</v>
          </cell>
          <cell r="E142">
            <v>0</v>
          </cell>
        </row>
        <row r="143">
          <cell r="A143" t="str">
            <v>MMA20201@@</v>
          </cell>
          <cell r="B143" t="str">
            <v>_</v>
          </cell>
          <cell r="C143">
            <v>0</v>
          </cell>
          <cell r="D143">
            <v>0</v>
          </cell>
          <cell r="E143">
            <v>0</v>
          </cell>
        </row>
        <row r="144">
          <cell r="A144" t="str">
            <v>MMA20202--</v>
          </cell>
          <cell r="B144" t="str">
            <v>操業費</v>
          </cell>
          <cell r="C144">
            <v>0</v>
          </cell>
          <cell r="D144">
            <v>0</v>
          </cell>
          <cell r="E144">
            <v>0</v>
          </cell>
        </row>
        <row r="145">
          <cell r="A145" t="str">
            <v>MMA20202@@</v>
          </cell>
          <cell r="B145" t="str">
            <v>_</v>
          </cell>
          <cell r="C145">
            <v>0</v>
          </cell>
          <cell r="D145">
            <v>0</v>
          </cell>
          <cell r="E145">
            <v>0</v>
          </cell>
        </row>
        <row r="146">
          <cell r="A146" t="str">
            <v>MMA20203--</v>
          </cell>
          <cell r="B146" t="str">
            <v>設備費</v>
          </cell>
          <cell r="C146">
            <v>0</v>
          </cell>
          <cell r="D146">
            <v>0</v>
          </cell>
          <cell r="E146">
            <v>0</v>
          </cell>
        </row>
        <row r="147">
          <cell r="A147" t="str">
            <v>MMA2020301</v>
          </cell>
          <cell r="B147" t="str">
            <v>減価償却費</v>
          </cell>
          <cell r="C147">
            <v>0</v>
          </cell>
          <cell r="D147">
            <v>0</v>
          </cell>
          <cell r="E147">
            <v>0</v>
          </cell>
        </row>
        <row r="148">
          <cell r="A148" t="str">
            <v>MMA2020302</v>
          </cell>
          <cell r="B148" t="str">
            <v>固定資産賃借料</v>
          </cell>
          <cell r="C148">
            <v>0</v>
          </cell>
          <cell r="D148">
            <v>0</v>
          </cell>
          <cell r="E148">
            <v>0</v>
          </cell>
        </row>
        <row r="149">
          <cell r="A149" t="str">
            <v>MMA2020303</v>
          </cell>
          <cell r="B149" t="str">
            <v>その他</v>
          </cell>
          <cell r="C149">
            <v>0</v>
          </cell>
          <cell r="D149">
            <v>0</v>
          </cell>
          <cell r="E149">
            <v>0</v>
          </cell>
        </row>
        <row r="150">
          <cell r="A150" t="str">
            <v>MMA20204--</v>
          </cell>
          <cell r="B150" t="str">
            <v>管理費</v>
          </cell>
          <cell r="C150">
            <v>0</v>
          </cell>
          <cell r="D150">
            <v>0</v>
          </cell>
          <cell r="E150">
            <v>0</v>
          </cell>
        </row>
        <row r="151">
          <cell r="A151" t="str">
            <v>MMA20204@@</v>
          </cell>
          <cell r="B151" t="str">
            <v>_</v>
          </cell>
          <cell r="C151">
            <v>0</v>
          </cell>
          <cell r="D151">
            <v>0</v>
          </cell>
          <cell r="E151">
            <v>0</v>
          </cell>
        </row>
        <row r="152">
          <cell r="A152" t="str">
            <v>MMA20205--</v>
          </cell>
          <cell r="B152" t="str">
            <v>その他</v>
          </cell>
          <cell r="C152">
            <v>0</v>
          </cell>
          <cell r="D152">
            <v>0</v>
          </cell>
          <cell r="E152">
            <v>0</v>
          </cell>
        </row>
        <row r="153">
          <cell r="A153" t="str">
            <v>MMA2020501</v>
          </cell>
          <cell r="B153" t="str">
            <v>事業税</v>
          </cell>
          <cell r="C153">
            <v>0</v>
          </cell>
          <cell r="D153">
            <v>0</v>
          </cell>
          <cell r="E153">
            <v>0</v>
          </cell>
        </row>
        <row r="154">
          <cell r="A154" t="str">
            <v>MMA2020502</v>
          </cell>
          <cell r="B154" t="str">
            <v>ＰＧ配賦</v>
          </cell>
          <cell r="C154">
            <v>0</v>
          </cell>
          <cell r="D154">
            <v>0</v>
          </cell>
          <cell r="E154">
            <v>0</v>
          </cell>
        </row>
        <row r="155">
          <cell r="A155" t="str">
            <v>MMA2020503</v>
          </cell>
          <cell r="B155" t="str">
            <v>海外事務所費用</v>
          </cell>
          <cell r="C155">
            <v>0</v>
          </cell>
          <cell r="D155">
            <v>0</v>
          </cell>
          <cell r="E155">
            <v>0</v>
          </cell>
        </row>
        <row r="156">
          <cell r="A156" t="str">
            <v>MMA2020504</v>
          </cell>
          <cell r="B156" t="str">
            <v>営業外損益</v>
          </cell>
          <cell r="C156">
            <v>0</v>
          </cell>
          <cell r="D156">
            <v>0</v>
          </cell>
          <cell r="E156">
            <v>0</v>
          </cell>
        </row>
        <row r="157">
          <cell r="A157" t="str">
            <v>MMA2020505</v>
          </cell>
          <cell r="B157" t="str">
            <v>特別損益</v>
          </cell>
          <cell r="C157">
            <v>0</v>
          </cell>
          <cell r="D157">
            <v>0</v>
          </cell>
          <cell r="E157">
            <v>0</v>
          </cell>
        </row>
        <row r="158">
          <cell r="A158" t="str">
            <v>MMC1</v>
          </cell>
          <cell r="B158" t="str">
            <v>設計</v>
          </cell>
          <cell r="C158">
            <v>0</v>
          </cell>
          <cell r="D158">
            <v>0</v>
          </cell>
          <cell r="E158">
            <v>0</v>
          </cell>
        </row>
        <row r="159">
          <cell r="A159" t="str">
            <v>MMK1</v>
          </cell>
          <cell r="B159" t="str">
            <v>研究</v>
          </cell>
          <cell r="C159">
            <v>0</v>
          </cell>
          <cell r="D159">
            <v>0</v>
          </cell>
          <cell r="E159">
            <v>0</v>
          </cell>
        </row>
        <row r="160">
          <cell r="A160" t="str">
            <v>MMK5</v>
          </cell>
          <cell r="B160" t="str">
            <v>海外駐在</v>
          </cell>
          <cell r="C160">
            <v>0</v>
          </cell>
          <cell r="D160">
            <v>0</v>
          </cell>
          <cell r="E160">
            <v>0</v>
          </cell>
        </row>
        <row r="161">
          <cell r="A161" t="str">
            <v>MMS1</v>
          </cell>
          <cell r="B161" t="str">
            <v>試作</v>
          </cell>
          <cell r="C161">
            <v>0</v>
          </cell>
          <cell r="D161">
            <v>0</v>
          </cell>
          <cell r="E161">
            <v>0</v>
          </cell>
        </row>
        <row r="162">
          <cell r="A162" t="str">
            <v>MMT1</v>
          </cell>
          <cell r="B162" t="str">
            <v>TSC･TIC</v>
          </cell>
          <cell r="C162">
            <v>0</v>
          </cell>
          <cell r="D162">
            <v>0</v>
          </cell>
          <cell r="E162">
            <v>0</v>
          </cell>
        </row>
        <row r="163">
          <cell r="A163" t="str">
            <v>MMT5</v>
          </cell>
          <cell r="B163" t="str">
            <v>長欠・嘱託等</v>
          </cell>
          <cell r="C163">
            <v>0</v>
          </cell>
          <cell r="D163">
            <v>0</v>
          </cell>
          <cell r="E163">
            <v>0</v>
          </cell>
        </row>
        <row r="164">
          <cell r="A164" t="str">
            <v>MMZ1</v>
          </cell>
          <cell r="B164" t="str">
            <v>補助管理</v>
          </cell>
          <cell r="C164">
            <v>0</v>
          </cell>
          <cell r="D164">
            <v>0</v>
          </cell>
          <cell r="E164">
            <v>0</v>
          </cell>
        </row>
        <row r="165">
          <cell r="A165" t="str">
            <v>PIZ1</v>
          </cell>
          <cell r="B165" t="str">
            <v>-</v>
          </cell>
          <cell r="C165">
            <v>258</v>
          </cell>
          <cell r="D165">
            <v>43</v>
          </cell>
          <cell r="E165">
            <v>43</v>
          </cell>
        </row>
        <row r="166">
          <cell r="A166" t="str">
            <v>PJA20201@@</v>
          </cell>
          <cell r="B166" t="str">
            <v>-</v>
          </cell>
          <cell r="C166">
            <v>201991742</v>
          </cell>
          <cell r="D166">
            <v>40913498</v>
          </cell>
          <cell r="E166">
            <v>33033871</v>
          </cell>
        </row>
        <row r="167">
          <cell r="A167" t="str">
            <v>PJA20202@@</v>
          </cell>
          <cell r="B167" t="str">
            <v>-</v>
          </cell>
          <cell r="C167">
            <v>37351326</v>
          </cell>
          <cell r="D167">
            <v>11219752</v>
          </cell>
          <cell r="E167">
            <v>8478726</v>
          </cell>
        </row>
        <row r="168">
          <cell r="A168" t="str">
            <v>PJA2020301</v>
          </cell>
          <cell r="B168" t="str">
            <v>-</v>
          </cell>
          <cell r="C168">
            <v>21540899</v>
          </cell>
          <cell r="D168">
            <v>3578246</v>
          </cell>
          <cell r="E168">
            <v>3640832</v>
          </cell>
        </row>
        <row r="169">
          <cell r="A169" t="str">
            <v>PJA2020302</v>
          </cell>
          <cell r="B169" t="str">
            <v>-</v>
          </cell>
          <cell r="C169">
            <v>670890000</v>
          </cell>
          <cell r="D169">
            <v>111815000</v>
          </cell>
          <cell r="E169">
            <v>111815000</v>
          </cell>
        </row>
        <row r="170">
          <cell r="A170" t="str">
            <v>PJA2020303</v>
          </cell>
          <cell r="B170" t="str">
            <v>-</v>
          </cell>
          <cell r="C170">
            <v>12734024</v>
          </cell>
          <cell r="D170">
            <v>757731</v>
          </cell>
          <cell r="E170">
            <v>277464</v>
          </cell>
        </row>
        <row r="171">
          <cell r="A171" t="str">
            <v>PJA20204@@</v>
          </cell>
          <cell r="B171" t="str">
            <v>_</v>
          </cell>
          <cell r="C171">
            <v>63593348</v>
          </cell>
          <cell r="D171">
            <v>10157966</v>
          </cell>
          <cell r="E171">
            <v>12411420</v>
          </cell>
        </row>
        <row r="172">
          <cell r="A172" t="str">
            <v>PYA20201@@</v>
          </cell>
          <cell r="B172" t="str">
            <v>-</v>
          </cell>
          <cell r="C172">
            <v>199782000</v>
          </cell>
          <cell r="D172">
            <v>34344000</v>
          </cell>
          <cell r="E172">
            <v>34234000</v>
          </cell>
        </row>
        <row r="173">
          <cell r="A173" t="str">
            <v>PYA20202@@</v>
          </cell>
          <cell r="B173" t="str">
            <v>-</v>
          </cell>
          <cell r="C173">
            <v>26403000</v>
          </cell>
          <cell r="D173">
            <v>4230000</v>
          </cell>
          <cell r="E173">
            <v>5502000</v>
          </cell>
        </row>
        <row r="174">
          <cell r="A174" t="str">
            <v>PYA2020301</v>
          </cell>
          <cell r="B174" t="str">
            <v>-</v>
          </cell>
          <cell r="C174">
            <v>21255000</v>
          </cell>
          <cell r="D174">
            <v>3759000</v>
          </cell>
          <cell r="E174">
            <v>3686000</v>
          </cell>
        </row>
        <row r="175">
          <cell r="A175" t="str">
            <v>PYA2020302</v>
          </cell>
          <cell r="B175" t="str">
            <v>-</v>
          </cell>
          <cell r="C175">
            <v>575760000</v>
          </cell>
          <cell r="D175">
            <v>95960000</v>
          </cell>
          <cell r="E175">
            <v>95960000</v>
          </cell>
        </row>
        <row r="176">
          <cell r="A176" t="str">
            <v>PYA2020303</v>
          </cell>
          <cell r="B176" t="str">
            <v>-</v>
          </cell>
          <cell r="C176">
            <v>8431000</v>
          </cell>
          <cell r="D176">
            <v>1126000</v>
          </cell>
          <cell r="E176">
            <v>123000</v>
          </cell>
        </row>
        <row r="177">
          <cell r="A177" t="str">
            <v>PYA20204@@</v>
          </cell>
          <cell r="B177" t="str">
            <v>-</v>
          </cell>
          <cell r="C177">
            <v>55881000</v>
          </cell>
          <cell r="D177">
            <v>6596000</v>
          </cell>
          <cell r="E177">
            <v>6651000</v>
          </cell>
        </row>
        <row r="178">
          <cell r="A178" t="str">
            <v>TIZ1</v>
          </cell>
          <cell r="B178" t="str">
            <v>-</v>
          </cell>
          <cell r="C178">
            <v>300</v>
          </cell>
          <cell r="D178">
            <v>50</v>
          </cell>
          <cell r="E178">
            <v>50</v>
          </cell>
        </row>
        <row r="179">
          <cell r="A179" t="str">
            <v>TJA2010201</v>
          </cell>
          <cell r="B179" t="str">
            <v>-</v>
          </cell>
          <cell r="C179">
            <v>334890</v>
          </cell>
          <cell r="D179">
            <v>0</v>
          </cell>
          <cell r="E179">
            <v>335000</v>
          </cell>
        </row>
        <row r="180">
          <cell r="A180" t="str">
            <v>TJA20201@@</v>
          </cell>
          <cell r="B180" t="str">
            <v>-</v>
          </cell>
          <cell r="C180">
            <v>208649254</v>
          </cell>
          <cell r="D180">
            <v>29217837</v>
          </cell>
          <cell r="E180">
            <v>34310850</v>
          </cell>
        </row>
        <row r="181">
          <cell r="A181" t="str">
            <v>TJA20202@@</v>
          </cell>
          <cell r="B181" t="str">
            <v>-</v>
          </cell>
          <cell r="C181">
            <v>65110812</v>
          </cell>
          <cell r="D181">
            <v>10491129</v>
          </cell>
          <cell r="E181">
            <v>14759884</v>
          </cell>
        </row>
        <row r="182">
          <cell r="A182" t="str">
            <v>TJA2020301</v>
          </cell>
          <cell r="B182" t="str">
            <v>-</v>
          </cell>
          <cell r="C182">
            <v>20210036</v>
          </cell>
          <cell r="D182">
            <v>3485623</v>
          </cell>
          <cell r="E182">
            <v>3332764</v>
          </cell>
        </row>
        <row r="183">
          <cell r="A183" t="str">
            <v>TJA2020302</v>
          </cell>
          <cell r="B183" t="str">
            <v>-</v>
          </cell>
          <cell r="C183">
            <v>327826464</v>
          </cell>
          <cell r="D183">
            <v>57350267</v>
          </cell>
          <cell r="E183">
            <v>57312467</v>
          </cell>
        </row>
        <row r="184">
          <cell r="A184" t="str">
            <v>TJA2020303</v>
          </cell>
          <cell r="B184" t="str">
            <v>-</v>
          </cell>
          <cell r="C184">
            <v>66453688</v>
          </cell>
          <cell r="D184">
            <v>4299803</v>
          </cell>
          <cell r="E184">
            <v>6557292</v>
          </cell>
        </row>
        <row r="185">
          <cell r="A185" t="str">
            <v>TJA20204@@</v>
          </cell>
          <cell r="B185" t="str">
            <v>-</v>
          </cell>
          <cell r="C185">
            <v>115057220</v>
          </cell>
          <cell r="D185">
            <v>27580872</v>
          </cell>
          <cell r="E185">
            <v>15578983</v>
          </cell>
        </row>
        <row r="186">
          <cell r="A186" t="str">
            <v>TYA20201@@</v>
          </cell>
          <cell r="B186" t="str">
            <v>-</v>
          </cell>
          <cell r="C186">
            <v>227122000</v>
          </cell>
          <cell r="D186">
            <v>37919000</v>
          </cell>
          <cell r="E186">
            <v>37739000</v>
          </cell>
        </row>
        <row r="187">
          <cell r="A187" t="str">
            <v>TYA20202@@</v>
          </cell>
          <cell r="B187" t="str">
            <v>-</v>
          </cell>
          <cell r="C187">
            <v>67604000</v>
          </cell>
          <cell r="D187">
            <v>11158000</v>
          </cell>
          <cell r="E187">
            <v>11583000</v>
          </cell>
        </row>
        <row r="188">
          <cell r="A188" t="str">
            <v>TYA2020301</v>
          </cell>
          <cell r="B188" t="str">
            <v>-</v>
          </cell>
          <cell r="C188">
            <v>19034000</v>
          </cell>
          <cell r="D188">
            <v>3354000</v>
          </cell>
          <cell r="E188">
            <v>3276000</v>
          </cell>
        </row>
        <row r="189">
          <cell r="A189" t="str">
            <v>TYA2020302</v>
          </cell>
          <cell r="B189" t="str">
            <v>-</v>
          </cell>
          <cell r="C189">
            <v>363456000</v>
          </cell>
          <cell r="D189">
            <v>60576000</v>
          </cell>
          <cell r="E189">
            <v>60576000</v>
          </cell>
        </row>
        <row r="190">
          <cell r="A190" t="str">
            <v>TYA2020303</v>
          </cell>
          <cell r="B190" t="str">
            <v>-</v>
          </cell>
          <cell r="C190">
            <v>35366000</v>
          </cell>
          <cell r="D190">
            <v>3639000</v>
          </cell>
          <cell r="E190">
            <v>5303000</v>
          </cell>
        </row>
        <row r="191">
          <cell r="A191" t="str">
            <v>TYA20204@@</v>
          </cell>
          <cell r="B191" t="str">
            <v>-</v>
          </cell>
          <cell r="C191">
            <v>96643000</v>
          </cell>
          <cell r="D191">
            <v>16279000</v>
          </cell>
          <cell r="E191">
            <v>14921000</v>
          </cell>
        </row>
        <row r="192">
          <cell r="A192" t="str">
            <v>WIC1</v>
          </cell>
          <cell r="B192" t="str">
            <v>-</v>
          </cell>
          <cell r="C192">
            <v>334</v>
          </cell>
          <cell r="D192">
            <v>54</v>
          </cell>
          <cell r="E192">
            <v>55</v>
          </cell>
        </row>
        <row r="193">
          <cell r="A193" t="str">
            <v>WIK1</v>
          </cell>
          <cell r="B193" t="str">
            <v>-</v>
          </cell>
          <cell r="C193">
            <v>5268</v>
          </cell>
          <cell r="D193">
            <v>863</v>
          </cell>
          <cell r="E193">
            <v>866</v>
          </cell>
        </row>
        <row r="194">
          <cell r="A194" t="str">
            <v>WIS1</v>
          </cell>
          <cell r="B194" t="str">
            <v>-</v>
          </cell>
          <cell r="C194">
            <v>901</v>
          </cell>
          <cell r="D194">
            <v>147</v>
          </cell>
          <cell r="E194">
            <v>147</v>
          </cell>
        </row>
        <row r="195">
          <cell r="A195" t="str">
            <v>WIZ1</v>
          </cell>
          <cell r="B195" t="str">
            <v>-</v>
          </cell>
          <cell r="C195">
            <v>1169</v>
          </cell>
          <cell r="D195">
            <v>191</v>
          </cell>
          <cell r="E195">
            <v>194</v>
          </cell>
        </row>
        <row r="196">
          <cell r="A196" t="str">
            <v>WJA2010101</v>
          </cell>
          <cell r="B196" t="str">
            <v>-</v>
          </cell>
          <cell r="C196">
            <v>1023287103</v>
          </cell>
          <cell r="D196">
            <v>259972498</v>
          </cell>
          <cell r="E196">
            <v>172457157</v>
          </cell>
        </row>
        <row r="197">
          <cell r="A197" t="str">
            <v>WJA2010106</v>
          </cell>
          <cell r="B197" t="str">
            <v>-</v>
          </cell>
          <cell r="C197">
            <v>0</v>
          </cell>
          <cell r="D197">
            <v>0</v>
          </cell>
          <cell r="E197">
            <v>0</v>
          </cell>
        </row>
        <row r="198">
          <cell r="A198" t="str">
            <v>WJA2010107</v>
          </cell>
          <cell r="B198" t="str">
            <v>-</v>
          </cell>
          <cell r="C198">
            <v>10768283</v>
          </cell>
          <cell r="D198">
            <v>2087894</v>
          </cell>
          <cell r="E198">
            <v>1305509</v>
          </cell>
        </row>
        <row r="199">
          <cell r="A199" t="str">
            <v>WJA2010108</v>
          </cell>
          <cell r="B199" t="str">
            <v>-</v>
          </cell>
          <cell r="C199">
            <v>9423617</v>
          </cell>
          <cell r="D199">
            <v>1656929</v>
          </cell>
          <cell r="E199">
            <v>3183526</v>
          </cell>
        </row>
        <row r="200">
          <cell r="A200" t="str">
            <v>WJA2010109</v>
          </cell>
          <cell r="B200" t="str">
            <v>_</v>
          </cell>
          <cell r="C200">
            <v>3912945203</v>
          </cell>
          <cell r="D200">
            <v>760719510</v>
          </cell>
          <cell r="E200">
            <v>597921484</v>
          </cell>
        </row>
        <row r="201">
          <cell r="A201" t="str">
            <v>WJA2010201</v>
          </cell>
          <cell r="B201" t="str">
            <v>-</v>
          </cell>
          <cell r="C201">
            <v>97484991</v>
          </cell>
          <cell r="D201">
            <v>22116737</v>
          </cell>
          <cell r="E201">
            <v>14687840</v>
          </cell>
        </row>
        <row r="202">
          <cell r="A202" t="str">
            <v>WJA2010202</v>
          </cell>
          <cell r="B202" t="str">
            <v>-</v>
          </cell>
          <cell r="C202">
            <v>157740196</v>
          </cell>
          <cell r="D202">
            <v>48747556</v>
          </cell>
          <cell r="E202">
            <v>19301971</v>
          </cell>
        </row>
        <row r="203">
          <cell r="A203" t="str">
            <v>WJA2010203</v>
          </cell>
          <cell r="B203" t="str">
            <v>_</v>
          </cell>
          <cell r="C203">
            <v>345283656</v>
          </cell>
          <cell r="D203">
            <v>83060265</v>
          </cell>
          <cell r="E203">
            <v>54940213</v>
          </cell>
        </row>
        <row r="204">
          <cell r="A204" t="str">
            <v>WJA20201@@</v>
          </cell>
          <cell r="B204" t="str">
            <v>-</v>
          </cell>
          <cell r="C204">
            <v>5793996827</v>
          </cell>
          <cell r="D204">
            <v>1071055137</v>
          </cell>
          <cell r="E204">
            <v>959831975</v>
          </cell>
        </row>
        <row r="205">
          <cell r="A205" t="str">
            <v>WJA20202@@</v>
          </cell>
          <cell r="B205" t="str">
            <v>-</v>
          </cell>
          <cell r="C205">
            <v>561508353</v>
          </cell>
          <cell r="D205">
            <v>110285924</v>
          </cell>
          <cell r="E205">
            <v>115556877</v>
          </cell>
        </row>
        <row r="206">
          <cell r="A206" t="str">
            <v>WJA2020301</v>
          </cell>
          <cell r="B206" t="str">
            <v>-</v>
          </cell>
          <cell r="C206">
            <v>587794083</v>
          </cell>
          <cell r="D206">
            <v>138941699</v>
          </cell>
          <cell r="E206">
            <v>99186511</v>
          </cell>
        </row>
        <row r="207">
          <cell r="A207" t="str">
            <v>WJA2020302</v>
          </cell>
          <cell r="B207" t="str">
            <v>-</v>
          </cell>
          <cell r="C207">
            <v>503380823</v>
          </cell>
          <cell r="D207">
            <v>74490631</v>
          </cell>
          <cell r="E207">
            <v>102357967</v>
          </cell>
        </row>
        <row r="208">
          <cell r="A208" t="str">
            <v>WJA2020303</v>
          </cell>
          <cell r="B208" t="str">
            <v>-</v>
          </cell>
          <cell r="C208">
            <v>411753854</v>
          </cell>
          <cell r="D208">
            <v>72369286</v>
          </cell>
          <cell r="E208">
            <v>75041471</v>
          </cell>
        </row>
        <row r="209">
          <cell r="A209" t="str">
            <v>WJA20204@@</v>
          </cell>
          <cell r="B209" t="str">
            <v>-</v>
          </cell>
          <cell r="C209">
            <v>1184408809</v>
          </cell>
          <cell r="D209">
            <v>-48783311</v>
          </cell>
          <cell r="E209">
            <v>273719147</v>
          </cell>
        </row>
        <row r="210">
          <cell r="A210" t="str">
            <v>WJA2020504</v>
          </cell>
          <cell r="B210" t="str">
            <v>-</v>
          </cell>
          <cell r="C210">
            <v>-83018756</v>
          </cell>
          <cell r="D210">
            <v>-75674036</v>
          </cell>
          <cell r="E210">
            <v>-7857110</v>
          </cell>
        </row>
        <row r="211">
          <cell r="A211" t="str">
            <v>WJA2020505</v>
          </cell>
          <cell r="B211" t="str">
            <v>-</v>
          </cell>
          <cell r="C211">
            <v>-15759020</v>
          </cell>
          <cell r="D211">
            <v>-10141216</v>
          </cell>
          <cell r="E211">
            <v>-2124650</v>
          </cell>
        </row>
        <row r="212">
          <cell r="A212" t="str">
            <v>WYA2010101</v>
          </cell>
          <cell r="B212" t="str">
            <v>-</v>
          </cell>
          <cell r="C212">
            <v>1253600000</v>
          </cell>
          <cell r="D212">
            <v>213425000</v>
          </cell>
          <cell r="E212">
            <v>225980000</v>
          </cell>
        </row>
        <row r="213">
          <cell r="A213" t="str">
            <v>WYA20201@@</v>
          </cell>
          <cell r="B213" t="str">
            <v>-</v>
          </cell>
          <cell r="C213">
            <v>5697916000</v>
          </cell>
          <cell r="D213">
            <v>998352000</v>
          </cell>
          <cell r="E213">
            <v>954912000</v>
          </cell>
        </row>
        <row r="214">
          <cell r="A214" t="str">
            <v>WYA20202@@</v>
          </cell>
          <cell r="B214" t="str">
            <v>-</v>
          </cell>
          <cell r="C214">
            <v>608450000</v>
          </cell>
          <cell r="D214">
            <v>103652000</v>
          </cell>
          <cell r="E214">
            <v>99304000</v>
          </cell>
        </row>
        <row r="215">
          <cell r="A215" t="str">
            <v>WYA2020301</v>
          </cell>
          <cell r="B215" t="str">
            <v>-</v>
          </cell>
          <cell r="C215">
            <v>692180000</v>
          </cell>
          <cell r="D215">
            <v>142914000</v>
          </cell>
          <cell r="E215">
            <v>128740000</v>
          </cell>
        </row>
        <row r="216">
          <cell r="A216" t="str">
            <v>WYA2020302</v>
          </cell>
          <cell r="B216" t="str">
            <v>-</v>
          </cell>
          <cell r="C216">
            <v>517797000</v>
          </cell>
          <cell r="D216">
            <v>101472000</v>
          </cell>
          <cell r="E216">
            <v>83305000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IKKEIIndex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振込"/>
      <sheetName val="採用名簿"/>
      <sheetName val="本給ﾃｰﾌﾞﾙ"/>
      <sheetName val="ﾃｰﾌﾞ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enmzoka.tripod.com/" TargetMode="External" /><Relationship Id="rId2" Type="http://schemas.openxmlformats.org/officeDocument/2006/relationships/hyperlink" Target="http://kenmzoka.com/20000212HomeRadioGeoC.htm" TargetMode="External" /><Relationship Id="rId3" Type="http://schemas.openxmlformats.org/officeDocument/2006/relationships/hyperlink" Target="http://excelfan.akiba.coocan.jp/070320CalendarJapan2007.htm" TargetMode="External" /><Relationship Id="rId4" Type="http://schemas.openxmlformats.org/officeDocument/2006/relationships/comments" Target="../comments1.xml" /><Relationship Id="rId5" Type="http://schemas.openxmlformats.org/officeDocument/2006/relationships/oleObject" Target="../embeddings/oleObject_0_0.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kenmzoka.tripod.com/" TargetMode="External" /><Relationship Id="rId2" Type="http://schemas.openxmlformats.org/officeDocument/2006/relationships/hyperlink" Target="http://kenmzoka.tripod.com/20001229CalendarJapan2001.htm" TargetMode="External" /><Relationship Id="rId3" Type="http://schemas.openxmlformats.org/officeDocument/2006/relationships/hyperlink" Target="http://kenmzoka.com/20000212HomeRadioGeoC.htm" TargetMode="External" /><Relationship Id="rId4" Type="http://schemas.openxmlformats.org/officeDocument/2006/relationships/comments" Target="../comments2.xml" /><Relationship Id="rId5" Type="http://schemas.openxmlformats.org/officeDocument/2006/relationships/oleObject" Target="../embeddings/oleObject_1_0.bin"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pm.gov/fedhol/index.htm" TargetMode="External" /><Relationship Id="rId2" Type="http://schemas.openxmlformats.org/officeDocument/2006/relationships/hyperlink" Target="http://www.timeanddate.com/calendar/" TargetMode="External" /><Relationship Id="rId3" Type="http://schemas.openxmlformats.org/officeDocument/2006/relationships/hyperlink" Target="http://kenmzoka.tripod.com/20001229CalendarJapan2001.htm" TargetMode="External" /><Relationship Id="rId4" Type="http://schemas.openxmlformats.org/officeDocument/2006/relationships/hyperlink" Target="http://kenmzoka.com/20000212HomeRadioGeoC.htm" TargetMode="External" /><Relationship Id="rId5" Type="http://schemas.openxmlformats.org/officeDocument/2006/relationships/hyperlink" Target="http://kenmzoka.tripod.com/20001229CalendarJapan2001.htm" TargetMode="External" /><Relationship Id="rId6" Type="http://schemas.openxmlformats.org/officeDocument/2006/relationships/comments" Target="../comments3.xml" /><Relationship Id="rId7" Type="http://schemas.openxmlformats.org/officeDocument/2006/relationships/oleObject" Target="../embeddings/oleObject_2_0.bin" /><Relationship Id="rId8" Type="http://schemas.openxmlformats.org/officeDocument/2006/relationships/vmlDrawing" Target="../drawings/vmlDrawing3.vm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kenmzoka.com/20000212HomeRadioGeoC.htm" TargetMode="External" /><Relationship Id="rId2" Type="http://schemas.openxmlformats.org/officeDocument/2006/relationships/hyperlink" Target="http://kenmzoka0.tripod.com/20000212HomeRadioGeoC.htm" TargetMode="External" /><Relationship Id="rId3" Type="http://schemas.openxmlformats.org/officeDocument/2006/relationships/comments" Target="../comments4.x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118"/>
  <sheetViews>
    <sheetView tabSelected="1" zoomScale="75" zoomScaleNormal="75" zoomScalePageLayoutView="0" workbookViewId="0" topLeftCell="A1">
      <pane ySplit="7" topLeftCell="A8" activePane="bottomLeft" state="frozen"/>
      <selection pane="topLeft" activeCell="A1" sqref="A1"/>
      <selection pane="bottomLeft" activeCell="G3" sqref="G3"/>
    </sheetView>
  </sheetViews>
  <sheetFormatPr defaultColWidth="9.00390625" defaultRowHeight="20.25" customHeight="1"/>
  <cols>
    <col min="1" max="1" width="2.625" style="5" customWidth="1"/>
    <col min="2" max="8" width="4.625" style="6" customWidth="1"/>
    <col min="9" max="9" width="2.625" style="5" customWidth="1"/>
    <col min="10" max="16" width="4.625" style="6" customWidth="1"/>
    <col min="17" max="17" width="2.625" style="5" customWidth="1"/>
    <col min="18" max="24" width="4.625" style="6" customWidth="1"/>
    <col min="25" max="25" width="0.74609375" style="5" customWidth="1"/>
    <col min="26" max="16384" width="9.00390625" style="5" customWidth="1"/>
  </cols>
  <sheetData>
    <row r="1" spans="21:26" ht="20.25" customHeight="1">
      <c r="U1" s="142" t="s">
        <v>94</v>
      </c>
      <c r="V1" s="143"/>
      <c r="W1" s="143"/>
      <c r="X1" s="143"/>
      <c r="Y1"/>
      <c r="Z1"/>
    </row>
    <row r="2" spans="1:28" ht="20.25" customHeight="1">
      <c r="A2" s="2">
        <f ca="1">NOW()</f>
        <v>45343.688428125</v>
      </c>
      <c r="B2" s="3"/>
      <c r="C2" s="3"/>
      <c r="D2" s="3"/>
      <c r="E2" s="3"/>
      <c r="F2" s="3"/>
      <c r="G2" s="3"/>
      <c r="H2" s="3"/>
      <c r="I2" s="3"/>
      <c r="J2" s="4"/>
      <c r="K2" s="3"/>
      <c r="L2" s="3"/>
      <c r="M2" s="1" t="str">
        <f>CONCATENATE(T3," "," ",G3," HOLIDAY SCHEDULE")</f>
        <v>Japan   HOLIDAY SCHEDULE</v>
      </c>
      <c r="N2" s="3"/>
      <c r="O2" s="3"/>
      <c r="P2" s="3"/>
      <c r="Q2" s="3"/>
      <c r="R2" s="3"/>
      <c r="S2" s="3"/>
      <c r="T2" s="4"/>
      <c r="U2" s="137" t="s">
        <v>0</v>
      </c>
      <c r="V2" s="137"/>
      <c r="W2" s="137"/>
      <c r="X2" s="137"/>
      <c r="Y2" s="137"/>
      <c r="Z2" s="137"/>
      <c r="AA2" s="3"/>
      <c r="AB2" s="4"/>
    </row>
    <row r="3" spans="1:28" ht="20.25" customHeight="1">
      <c r="A3" s="3"/>
      <c r="B3" s="3"/>
      <c r="C3" s="3"/>
      <c r="D3" s="3"/>
      <c r="E3" s="3"/>
      <c r="F3" s="3"/>
      <c r="G3" s="14"/>
      <c r="H3" s="3"/>
      <c r="I3" s="3"/>
      <c r="J3" s="3"/>
      <c r="K3" s="3"/>
      <c r="L3" s="3"/>
      <c r="M3" s="3"/>
      <c r="N3" s="3"/>
      <c r="O3" s="3"/>
      <c r="P3" s="3"/>
      <c r="Q3" s="3"/>
      <c r="R3" s="3"/>
      <c r="S3" s="3"/>
      <c r="T3" s="138" t="s">
        <v>1</v>
      </c>
      <c r="U3" s="139"/>
      <c r="V3" s="139"/>
      <c r="W3" s="139"/>
      <c r="X3" s="139"/>
      <c r="Y3" s="3"/>
      <c r="Z3" s="3"/>
      <c r="AA3" s="170">
        <f>IF(G3="","",DATE(G3,1,1))</f>
      </c>
      <c r="AB3" s="170"/>
    </row>
    <row r="4" spans="1:28" ht="20.25" customHeight="1">
      <c r="A4" s="3"/>
      <c r="B4" s="3"/>
      <c r="C4" s="3"/>
      <c r="D4" s="3"/>
      <c r="E4" s="3"/>
      <c r="F4" s="3"/>
      <c r="G4" s="3"/>
      <c r="H4" s="135">
        <f>YEAR(HolidayPlanner!J70)</f>
        <v>2024</v>
      </c>
      <c r="I4" s="3"/>
      <c r="J4" s="3"/>
      <c r="K4" s="3"/>
      <c r="L4" s="3"/>
      <c r="M4" s="3"/>
      <c r="N4" s="3"/>
      <c r="O4" s="3"/>
      <c r="P4" s="3"/>
      <c r="Q4" s="3"/>
      <c r="R4" s="3"/>
      <c r="S4" s="3"/>
      <c r="T4" s="139"/>
      <c r="U4" s="139"/>
      <c r="V4" s="139"/>
      <c r="W4" s="139"/>
      <c r="X4" s="139"/>
      <c r="Y4" s="3"/>
      <c r="Z4" s="3"/>
      <c r="AA4" s="3"/>
      <c r="AB4" s="4"/>
    </row>
    <row r="5" spans="2:8" ht="6" customHeight="1">
      <c r="B5" s="171"/>
      <c r="C5" s="171"/>
      <c r="D5" s="171"/>
      <c r="E5" s="171"/>
      <c r="F5" s="171"/>
      <c r="G5" s="171"/>
      <c r="H5" s="171"/>
    </row>
    <row r="6" spans="2:25" ht="20.25" customHeight="1" thickBot="1">
      <c r="B6" s="169">
        <f ca="1">IF(G3="",TODAY(),DATE(G3,1,1))</f>
        <v>45343</v>
      </c>
      <c r="C6" s="169"/>
      <c r="D6" s="169"/>
      <c r="E6" s="169"/>
      <c r="F6" s="169"/>
      <c r="G6" s="169"/>
      <c r="H6" s="169"/>
      <c r="I6" s="252">
        <f>DATE(YEAR(B6),MONTH(B6),1)</f>
        <v>45323</v>
      </c>
      <c r="J6" s="168">
        <f>IF(MONTH(B6)=12,TEXT(DATE(YEAR(B6)+1,1,1),"yyyy年m月"),DATE(YEAR(B6),MONTH(B6)+1,1))</f>
        <v>45352</v>
      </c>
      <c r="K6" s="168"/>
      <c r="L6" s="168"/>
      <c r="M6" s="168"/>
      <c r="N6" s="168"/>
      <c r="O6" s="168"/>
      <c r="P6" s="168"/>
      <c r="Q6" s="252">
        <f>DATE(YEAR(B6),MONTH(B6)+1,1)</f>
        <v>45352</v>
      </c>
      <c r="R6" s="168">
        <f>IF(MONTH(J6)=12,TEXT(DATE(YEAR(J6)+1,1,1),"yyyy年m月"),DATE(YEAR(J6),MONTH(J6)+1,1))</f>
        <v>45383</v>
      </c>
      <c r="S6" s="168"/>
      <c r="T6" s="168"/>
      <c r="U6" s="168"/>
      <c r="V6" s="168"/>
      <c r="W6" s="168"/>
      <c r="X6" s="168"/>
      <c r="Y6" s="7">
        <f>DATE(YEAR(Q6),MONTH(Q6)+1,1)</f>
        <v>45383</v>
      </c>
    </row>
    <row r="7" spans="2:24" ht="20.25" customHeight="1" thickTop="1">
      <c r="B7" s="22" t="s">
        <v>27</v>
      </c>
      <c r="C7" s="23" t="s">
        <v>29</v>
      </c>
      <c r="D7" s="23" t="s">
        <v>31</v>
      </c>
      <c r="E7" s="23" t="s">
        <v>33</v>
      </c>
      <c r="F7" s="23" t="s">
        <v>35</v>
      </c>
      <c r="G7" s="23" t="s">
        <v>37</v>
      </c>
      <c r="H7" s="24" t="s">
        <v>39</v>
      </c>
      <c r="I7" s="3"/>
      <c r="J7" s="22" t="s">
        <v>26</v>
      </c>
      <c r="K7" s="23" t="s">
        <v>28</v>
      </c>
      <c r="L7" s="23" t="s">
        <v>30</v>
      </c>
      <c r="M7" s="23" t="s">
        <v>32</v>
      </c>
      <c r="N7" s="23" t="s">
        <v>34</v>
      </c>
      <c r="O7" s="23" t="s">
        <v>36</v>
      </c>
      <c r="P7" s="24" t="s">
        <v>38</v>
      </c>
      <c r="Q7" s="3"/>
      <c r="R7" s="22" t="s">
        <v>26</v>
      </c>
      <c r="S7" s="23" t="s">
        <v>28</v>
      </c>
      <c r="T7" s="23" t="s">
        <v>30</v>
      </c>
      <c r="U7" s="23" t="s">
        <v>32</v>
      </c>
      <c r="V7" s="23" t="s">
        <v>34</v>
      </c>
      <c r="W7" s="23" t="s">
        <v>36</v>
      </c>
      <c r="X7" s="24" t="s">
        <v>38</v>
      </c>
    </row>
    <row r="8" spans="1:24" ht="27" customHeight="1">
      <c r="A8" s="134">
        <f>IF(ISNA(LOOKUP(C9-7,'Date by Week Number'!$C$2:$FE$2,'Date by Week Number'!$C$5:$FF$5))=TRUE,"",LOOKUP(C9-7,'Date by Week Number'!$C$2:$FE$2,'Date by Week Number'!$C$5:$FF$5))</f>
        <v>5</v>
      </c>
      <c r="B8" s="27">
        <f>IF(WEEKDAY(DATE(YEAR(B6),MONTH(B6),DAY(1)),1)=1,DATE(YEAR(B6),MONTH(B6),DAY(1)),"")</f>
      </c>
      <c r="C8" s="27">
        <f>IF(WEEKDAY(DATE(YEAR(B6),MONTH(B6),DAY(1)),1)=2,DATE(YEAR(B6),MONTH(B6),DAY(1)),IF(NOT(B8=""),B8+1,""))</f>
      </c>
      <c r="D8" s="27">
        <f>IF(WEEKDAY(DATE(YEAR(B6),MONTH(B6),DAY(1)),1)=3,DATE(YEAR(B6),MONTH(B6),DAY(1)),IF(NOT(C8=""),C8+1,""))</f>
      </c>
      <c r="E8" s="27">
        <f>IF(WEEKDAY(DATE(YEAR(B6),MONTH(B6),DAY(1)),1)=4,DATE(YEAR(B6),MONTH(B6),DAY(1)),IF(NOT(D8=""),D8+1,""))</f>
      </c>
      <c r="F8" s="27">
        <f>IF(WEEKDAY(DATE(YEAR(B6),MONTH(B6),DAY(1)),1)=5,DATE(YEAR(B6),MONTH(B6),DAY(1)),IF(NOT(E8=""),E8+1,""))</f>
        <v>45323</v>
      </c>
      <c r="G8" s="27">
        <f>IF(WEEKDAY(DATE(YEAR(B6),MONTH(B6),DAY(1)),1)=6,DATE(YEAR(B6),MONTH(B6),DAY(1)),IF(NOT(F8=""),F8+1,""))</f>
        <v>45324</v>
      </c>
      <c r="H8" s="27">
        <f>IF(WEEKDAY(DATE(YEAR(B6),MONTH(B6),DAY(1)),1)=7,DATE(YEAR(B6),MONTH(B6),DAY(1)),DATE(YEAR(G8),MONTH(G8),DAY(G8+1)))</f>
        <v>45325</v>
      </c>
      <c r="I8" s="134">
        <f>IF(ISNA(LOOKUP(K9-7,'Date by Week Number'!$C$2:$FE$2,'Date by Week Number'!$C$5:$FF$5))=TRUE,"",LOOKUP(K9-7,'Date by Week Number'!$C$2:$FE$2,'Date by Week Number'!$C$5:$FF$5))</f>
        <v>9</v>
      </c>
      <c r="J8" s="27">
        <f>IF(WEEKDAY(DATE(YEAR(J6),MONTH(J6),DAY(1)),1)=1,DATE(YEAR(J6),MONTH(J6),DAY(1)),"")</f>
      </c>
      <c r="K8" s="27">
        <f>IF(WEEKDAY(DATE(YEAR(J6),MONTH(J6),DAY(1)),1)=2,DATE(YEAR(J6),MONTH(J6),DAY(1)),IF(NOT(J8=""),J8+1,""))</f>
      </c>
      <c r="L8" s="27">
        <f>IF(WEEKDAY(DATE(YEAR(J6),MONTH(J6),DAY(1)),1)=3,DATE(YEAR(J6),MONTH(J6),DAY(1)),IF(NOT(K8=""),K8+1,""))</f>
      </c>
      <c r="M8" s="27">
        <f>IF(WEEKDAY(DATE(YEAR(J6),MONTH(J6),DAY(1)),1)=4,DATE(YEAR(J6),MONTH(J6),DAY(1)),IF(NOT(L8=""),L8+1,""))</f>
      </c>
      <c r="N8" s="27">
        <f>IF(WEEKDAY(DATE(YEAR(J6),MONTH(J6),DAY(1)),1)=5,DATE(YEAR(J6),MONTH(J6),DAY(1)),IF(NOT(M8=""),M8+1,""))</f>
      </c>
      <c r="O8" s="27">
        <f>IF(WEEKDAY(DATE(YEAR(J6),MONTH(J6),DAY(1)),1)=6,DATE(YEAR(J6),MONTH(J6),DAY(1)),IF(NOT(N8=""),N8+1,""))</f>
        <v>45352</v>
      </c>
      <c r="P8" s="27">
        <f>IF(WEEKDAY(DATE(YEAR(J6),MONTH(J6),DAY(1)),1)=7,DATE(YEAR(J6),MONTH(J6),DAY(1)),DATE(YEAR(O8),MONTH(O8),DAY(O8+1)))</f>
        <v>45353</v>
      </c>
      <c r="Q8" s="134">
        <f>IF(ISNA(LOOKUP(S9-7,'Date by Week Number'!$C$2:$FE$2,'Date by Week Number'!$C$5:$FF$5))=TRUE,"",LOOKUP(S9-7,'Date by Week Number'!$C$2:$FE$2,'Date by Week Number'!$C$5:$FF$5))</f>
        <v>14</v>
      </c>
      <c r="R8" s="27">
        <f>IF(WEEKDAY(DATE(YEAR(R6),MONTH(R6),DAY(1)),1)=1,DATE(YEAR(R6),MONTH(R6),DAY(1)),"")</f>
      </c>
      <c r="S8" s="27">
        <f>IF(WEEKDAY(DATE(YEAR(R6),MONTH(R6),DAY(1)),1)=2,DATE(YEAR(R6),MONTH(R6),DAY(1)),IF(NOT(R8=""),R8+1,""))</f>
        <v>45383</v>
      </c>
      <c r="T8" s="27">
        <f>IF(WEEKDAY(DATE(YEAR(R6),MONTH(R6),DAY(1)),1)=3,DATE(YEAR(R6),MONTH(R6),DAY(1)),IF(NOT(S8=""),S8+1,""))</f>
        <v>45384</v>
      </c>
      <c r="U8" s="27">
        <f>IF(WEEKDAY(DATE(YEAR(R6),MONTH(R6),DAY(1)),1)=4,DATE(YEAR(R6),MONTH(R6),DAY(1)),IF(NOT(T8=""),T8+1,""))</f>
        <v>45385</v>
      </c>
      <c r="V8" s="27">
        <f>IF(WEEKDAY(DATE(YEAR(R6),MONTH(R6),DAY(1)),1)=5,DATE(YEAR(R6),MONTH(R6),DAY(1)),IF(NOT(U8=""),U8+1,""))</f>
        <v>45386</v>
      </c>
      <c r="W8" s="27">
        <f>IF(WEEKDAY(DATE(YEAR(R6),MONTH(R6),DAY(1)),1)=6,DATE(YEAR(R6),MONTH(R6),DAY(1)),IF(NOT(V8=""),V8+1,""))</f>
        <v>45387</v>
      </c>
      <c r="X8" s="27">
        <f>IF(WEEKDAY(DATE(YEAR(R6),MONTH(R6),DAY(1)),1)=7,DATE(YEAR(R6),MONTH(R6),DAY(1)),DATE(YEAR(W8),MONTH(W8),DAY(W8+1)))</f>
        <v>45388</v>
      </c>
    </row>
    <row r="9" spans="1:24" ht="27" customHeight="1">
      <c r="A9" s="134">
        <f>IF(ISNA(IF(C9="","",LOOKUP(C9,'Date by Week Number'!$C$2:$FE$2,'Date by Week Number'!$C$5:$FF$5)))=TRUE,"",LOOKUP(C9,'Date by Week Number'!$C$2:$FE$2,'Date by Week Number'!$C$5:$FF$5))</f>
        <v>6</v>
      </c>
      <c r="B9" s="27">
        <f>DATE(YEAR(H8),MONTH(H8),DAY(H8+1))</f>
        <v>45326</v>
      </c>
      <c r="C9" s="27">
        <f aca="true" t="shared" si="0" ref="C9:H11">DATE(YEAR(B9),MONTH(B9),DAY(B9+1))</f>
        <v>45327</v>
      </c>
      <c r="D9" s="27">
        <f t="shared" si="0"/>
        <v>45328</v>
      </c>
      <c r="E9" s="27">
        <f t="shared" si="0"/>
        <v>45329</v>
      </c>
      <c r="F9" s="27">
        <f t="shared" si="0"/>
        <v>45330</v>
      </c>
      <c r="G9" s="27">
        <f t="shared" si="0"/>
        <v>45331</v>
      </c>
      <c r="H9" s="27">
        <f t="shared" si="0"/>
        <v>45332</v>
      </c>
      <c r="I9" s="134">
        <f>IF(ISNA(IF(K9="","",LOOKUP(K9,'Date by Week Number'!$C$2:$FE$2,'Date by Week Number'!$C$5:$FF$5)))=TRUE,"",LOOKUP(K9,'Date by Week Number'!$C$2:$FE$2,'Date by Week Number'!$C$5:$FF$5))</f>
        <v>10</v>
      </c>
      <c r="J9" s="27">
        <f>DATE(YEAR(P8),MONTH(P8),DAY(P8+1))</f>
        <v>45354</v>
      </c>
      <c r="K9" s="27">
        <f aca="true" t="shared" si="1" ref="K9:P11">DATE(YEAR(J9),MONTH(J9),DAY(J9+1))</f>
        <v>45355</v>
      </c>
      <c r="L9" s="27">
        <f t="shared" si="1"/>
        <v>45356</v>
      </c>
      <c r="M9" s="27">
        <f t="shared" si="1"/>
        <v>45357</v>
      </c>
      <c r="N9" s="27">
        <f t="shared" si="1"/>
        <v>45358</v>
      </c>
      <c r="O9" s="27">
        <f t="shared" si="1"/>
        <v>45359</v>
      </c>
      <c r="P9" s="27">
        <f t="shared" si="1"/>
        <v>45360</v>
      </c>
      <c r="Q9" s="134">
        <f>IF(ISNA(IF(S9="","",LOOKUP(S9,'Date by Week Number'!$C$2:$FE$2,'Date by Week Number'!$C$5:$FF$5)))=TRUE,"",LOOKUP(S9,'Date by Week Number'!$C$2:$FE$2,'Date by Week Number'!$C$5:$FF$5))</f>
        <v>15</v>
      </c>
      <c r="R9" s="27">
        <f>DATE(YEAR(X8),MONTH(X8),DAY(X8+1))</f>
        <v>45389</v>
      </c>
      <c r="S9" s="27">
        <f aca="true" t="shared" si="2" ref="S9:X11">DATE(YEAR(R9),MONTH(R9),DAY(R9+1))</f>
        <v>45390</v>
      </c>
      <c r="T9" s="27">
        <f t="shared" si="2"/>
        <v>45391</v>
      </c>
      <c r="U9" s="27">
        <f t="shared" si="2"/>
        <v>45392</v>
      </c>
      <c r="V9" s="27">
        <f t="shared" si="2"/>
        <v>45393</v>
      </c>
      <c r="W9" s="27">
        <f t="shared" si="2"/>
        <v>45394</v>
      </c>
      <c r="X9" s="27">
        <f t="shared" si="2"/>
        <v>45395</v>
      </c>
    </row>
    <row r="10" spans="1:24" ht="27" customHeight="1">
      <c r="A10" s="134">
        <f>IF(ISNA(IF(C10="","",LOOKUP(C10,'Date by Week Number'!$C$2:$FE$2,'Date by Week Number'!$C$5:$FF$5)))=TRUE,"",LOOKUP(C10,'Date by Week Number'!$C$2:$FE$2,'Date by Week Number'!$C$5:$FF$5))</f>
        <v>7</v>
      </c>
      <c r="B10" s="27">
        <f>DATE(YEAR(H9),MONTH(H9),DAY(H9+1))</f>
        <v>45333</v>
      </c>
      <c r="C10" s="27">
        <f t="shared" si="0"/>
        <v>45334</v>
      </c>
      <c r="D10" s="27">
        <f t="shared" si="0"/>
        <v>45335</v>
      </c>
      <c r="E10" s="27">
        <f t="shared" si="0"/>
        <v>45336</v>
      </c>
      <c r="F10" s="27">
        <f t="shared" si="0"/>
        <v>45337</v>
      </c>
      <c r="G10" s="27">
        <f t="shared" si="0"/>
        <v>45338</v>
      </c>
      <c r="H10" s="27">
        <f>DATE(YEAR(G10),MONTH(G10),DAY(G10+1))</f>
        <v>45339</v>
      </c>
      <c r="I10" s="134">
        <f>IF(ISNA(IF(K10="","",LOOKUP(K10,'Date by Week Number'!$C$2:$FE$2,'Date by Week Number'!$C$5:$FF$5)))=TRUE,"",LOOKUP(K10,'Date by Week Number'!$C$2:$FE$2,'Date by Week Number'!$C$5:$FF$5))</f>
        <v>11</v>
      </c>
      <c r="J10" s="27">
        <f>DATE(YEAR(P9),MONTH(P9),DAY(P9+1))</f>
        <v>45361</v>
      </c>
      <c r="K10" s="27">
        <f t="shared" si="1"/>
        <v>45362</v>
      </c>
      <c r="L10" s="27">
        <f t="shared" si="1"/>
        <v>45363</v>
      </c>
      <c r="M10" s="27">
        <f t="shared" si="1"/>
        <v>45364</v>
      </c>
      <c r="N10" s="27">
        <f t="shared" si="1"/>
        <v>45365</v>
      </c>
      <c r="O10" s="27">
        <f t="shared" si="1"/>
        <v>45366</v>
      </c>
      <c r="P10" s="27">
        <f t="shared" si="1"/>
        <v>45367</v>
      </c>
      <c r="Q10" s="134">
        <f>IF(ISNA(IF(S10="","",LOOKUP(S10,'Date by Week Number'!$C$2:$FE$2,'Date by Week Number'!$C$5:$FF$5)))=TRUE,"",LOOKUP(S10,'Date by Week Number'!$C$2:$FE$2,'Date by Week Number'!$C$5:$FF$5))</f>
        <v>16</v>
      </c>
      <c r="R10" s="27">
        <f>DATE(YEAR(X9),MONTH(X9),DAY(X9+1))</f>
        <v>45396</v>
      </c>
      <c r="S10" s="27">
        <f t="shared" si="2"/>
        <v>45397</v>
      </c>
      <c r="T10" s="27">
        <f t="shared" si="2"/>
        <v>45398</v>
      </c>
      <c r="U10" s="27">
        <f t="shared" si="2"/>
        <v>45399</v>
      </c>
      <c r="V10" s="27">
        <f t="shared" si="2"/>
        <v>45400</v>
      </c>
      <c r="W10" s="27">
        <f t="shared" si="2"/>
        <v>45401</v>
      </c>
      <c r="X10" s="27">
        <f t="shared" si="2"/>
        <v>45402</v>
      </c>
    </row>
    <row r="11" spans="1:24" ht="27" customHeight="1">
      <c r="A11" s="134">
        <f>IF(ISNA(IF(C11="","",LOOKUP(C11,'Date by Week Number'!$C$2:$FE$2,'Date by Week Number'!$C$5:$FF$5)))=TRUE,"",LOOKUP(C11,'Date by Week Number'!$C$2:$FE$2,'Date by Week Number'!$C$5:$FF$5))</f>
        <v>8</v>
      </c>
      <c r="B11" s="27">
        <f>DATE(YEAR(H10),MONTH(H10),DAY(H10+1))</f>
        <v>45340</v>
      </c>
      <c r="C11" s="27">
        <f t="shared" si="0"/>
        <v>45341</v>
      </c>
      <c r="D11" s="27">
        <f t="shared" si="0"/>
        <v>45342</v>
      </c>
      <c r="E11" s="27">
        <f t="shared" si="0"/>
        <v>45343</v>
      </c>
      <c r="F11" s="27">
        <f t="shared" si="0"/>
        <v>45344</v>
      </c>
      <c r="G11" s="27">
        <f t="shared" si="0"/>
        <v>45345</v>
      </c>
      <c r="H11" s="27">
        <f t="shared" si="0"/>
        <v>45346</v>
      </c>
      <c r="I11" s="134">
        <f>IF(ISNA(IF(K11="","",LOOKUP(K11,'Date by Week Number'!$C$2:$FE$2,'Date by Week Number'!$C$5:$FF$5)))=TRUE,"",LOOKUP(K11,'Date by Week Number'!$C$2:$FE$2,'Date by Week Number'!$C$5:$FF$5))</f>
        <v>12</v>
      </c>
      <c r="J11" s="27">
        <f>DATE(YEAR(P10),MONTH(P10),DAY(P10+1))</f>
        <v>45368</v>
      </c>
      <c r="K11" s="27">
        <f t="shared" si="1"/>
        <v>45369</v>
      </c>
      <c r="L11" s="27">
        <f t="shared" si="1"/>
        <v>45370</v>
      </c>
      <c r="M11" s="27">
        <f t="shared" si="1"/>
        <v>45371</v>
      </c>
      <c r="N11" s="27">
        <f t="shared" si="1"/>
        <v>45372</v>
      </c>
      <c r="O11" s="27">
        <f t="shared" si="1"/>
        <v>45373</v>
      </c>
      <c r="P11" s="27">
        <f t="shared" si="1"/>
        <v>45374</v>
      </c>
      <c r="Q11" s="134">
        <f>IF(ISNA(IF(S11="","",LOOKUP(S11,'Date by Week Number'!$C$2:$FE$2,'Date by Week Number'!$C$5:$FF$5)))=TRUE,"",LOOKUP(S11,'Date by Week Number'!$C$2:$FE$2,'Date by Week Number'!$C$5:$FF$5))</f>
        <v>17</v>
      </c>
      <c r="R11" s="27">
        <f>DATE(YEAR(X10),MONTH(X10),DAY(X10+1))</f>
        <v>45403</v>
      </c>
      <c r="S11" s="27">
        <f t="shared" si="2"/>
        <v>45404</v>
      </c>
      <c r="T11" s="27">
        <f t="shared" si="2"/>
        <v>45405</v>
      </c>
      <c r="U11" s="27">
        <f t="shared" si="2"/>
        <v>45406</v>
      </c>
      <c r="V11" s="27">
        <f t="shared" si="2"/>
        <v>45407</v>
      </c>
      <c r="W11" s="27">
        <f t="shared" si="2"/>
        <v>45408</v>
      </c>
      <c r="X11" s="27">
        <f t="shared" si="2"/>
        <v>45409</v>
      </c>
    </row>
    <row r="12" spans="1:26" ht="27" customHeight="1">
      <c r="A12" s="134">
        <f>IF(ISNA(IF(C12="","",LOOKUP(C12,'Date by Week Number'!$C$2:$FE$2,'Date by Week Number'!$C$5:$FF$5)))=TRUE,"",LOOKUP(C12,'Date by Week Number'!$C$2:$FE$2,'Date by Week Number'!$C$5:$FF$5))</f>
        <v>9</v>
      </c>
      <c r="B12" s="27">
        <f>IF(DAY(H8+22)=1,"",DATE(YEAR(H8),MONTH(H8),DAY(H8+22)))</f>
        <v>45347</v>
      </c>
      <c r="C12" s="27">
        <f>IF(OR(DAY(H8+23)=1,B12=""),"",IF(OR(NOT(MONTH(F5)=2),AND(MONTH(F5)=2,OR(MOD(YEAR(F5),400)=0,AND(MOD(YEAR(F5),4)=0,MOD(YEAR(F5),100)&lt;&gt;0)))),DATE(YEAR(B12),MONTH(B12),DAY(B12+1)),IF(AND(MONTH(F5)=2,OR(C8="",D8="")),DATE(YEAR(B12),MONTH(B12),DAY(B12+1)),"")))</f>
        <v>45348</v>
      </c>
      <c r="D12" s="27">
        <f>IF(OR(DAY(H8+23)=1,DAY(H8+24)=1,C12=""),"",IF(OR(NOT(MONTH(F5)=2),AND(MONTH(F5)=2,OR(MOD(YEAR(F5),400)=0,AND(MOD(YEAR(F5),4)=0,MOD(YEAR(F5),100)&lt;&gt;0)))),DATE(YEAR(C12),MONTH(C12),DAY(C12+1)),IF(AND(MONTH(F5)=2,OR(C8="",D8="")),DATE(YEAR(C12),MONTH(C12),DAY(C12+1)),"")))</f>
        <v>45349</v>
      </c>
      <c r="E12" s="27">
        <f>IF(OR(DAY(H8+23)=1,DAY(H8+24)=1,DAY(H8+25)=1,D12=""),"",IF(OR(NOT(MONTH(F5)=2),AND(MONTH(F5)=2,OR(MOD(YEAR(F5),400)=0,AND(MOD(YEAR(F5),4)=0,MOD(YEAR(F5),100)&lt;&gt;0)))),DATE(YEAR(D12),MONTH(D12),DAY(D12+1)),IF(AND(MONTH(F5)=2,OR(C8="",D8="")),DATE(YEAR(D12),MONTH(D12),DAY(D12+1)),"")))</f>
        <v>45350</v>
      </c>
      <c r="F12" s="27">
        <f>IF(OR(DAY(H8+23)=1,DAY(H8+24)=1,DAY(H8+25)=1,DAY(H8+26)=1,E12=""),"",IF(OR(NOT(MONTH(F5)=2),AND(MONTH(F5)=2,OR(MOD(YEAR(F5),400)=0,AND(MOD(YEAR(F5),4)=0,MOD(YEAR(F5),100)&lt;&gt;0)))),DATE(YEAR(E12),MONTH(E12),DAY(E12+1)),IF(AND(MONTH(F5)=2,OR(C8="",D8="")),DATE(YEAR(E12),MONTH(E12),DAY(E12+1)),"")))</f>
        <v>45351</v>
      </c>
      <c r="G12" s="27">
        <f>IF(OR(DAY(H8+23)=1,DAY(H8+24)=1,DAY(H8+25)=1,DAY(H8+26)=1,DAY(H8+27)=1,F12=""),"",IF(OR(NOT(MONTH(F5)=2),AND(MONTH(F5)=2,OR(MOD(YEAR(F5),400)=0,AND(MOD(YEAR(F5),4)=0,MOD(YEAR(F5),100)&lt;&gt;0)))),DATE(YEAR(F12),MONTH(F12),DAY(F12+1)),IF(AND(MONTH(F5)=2,OR(C8="",D8="")),DATE(YEAR(F12),MONTH(F12),DAY(F12+1)),"")))</f>
      </c>
      <c r="H12" s="27">
        <f>IF(OR(DAY(H8+23)=1,DAY(H8+24)=1,DAY(H8+25)=1,DAY(H8+26)=1,DAY(H8+27)=1,DAY(H8+28)=1,G12=""),"",IF(OR(NOT(MONTH(F5)=2),AND(MONTH(F5)=2,OR(MOD(YEAR(F5),400)=0,AND(MOD(YEAR(F5),4)=0,MOD(YEAR(F5),100)&lt;&gt;0)))),DATE(YEAR(G12),MONTH(G12),DAY(G12+1)),IF(AND(MONTH(F5)=2,OR(C8="",D8="")),DATE(YEAR(G12),MONTH(G12),DAY(G12+1)),"")))</f>
      </c>
      <c r="I12" s="134">
        <f>IF(ISNA(IF(K12="","",LOOKUP(K12,'Date by Week Number'!$C$2:$FE$2,'Date by Week Number'!$C$5:$FF$5)))=TRUE,"",LOOKUP(K12,'Date by Week Number'!$C$2:$FE$2,'Date by Week Number'!$C$5:$FF$5))</f>
        <v>13</v>
      </c>
      <c r="J12" s="27">
        <f>IF(DAY(P8+22)=1,"",DATE(YEAR(P8),MONTH(P8),DAY(P8+22)))</f>
        <v>45375</v>
      </c>
      <c r="K12" s="27">
        <f>IF(OR(DAY(P8+23)=1,J12=""),"",IF(OR(NOT(MONTH(N5)=2),AND(MONTH(N5)=2,OR(MOD(YEAR(N5),400)=0,AND(MOD(YEAR(N5),4)=0,MOD(YEAR(N5),100)&lt;&gt;0)))),DATE(YEAR(J12),MONTH(J12),DAY(J12+1)),IF(AND(MONTH(N5)=2,OR(K8="",L8="")),DATE(YEAR(J12),MONTH(J12),DAY(J12+1)),"")))</f>
        <v>45376</v>
      </c>
      <c r="L12" s="27">
        <f>IF(OR(DAY(P8+23)=1,DAY(P8+24)=1,K12=""),"",IF(OR(NOT(MONTH(N5)=2),AND(MONTH(N5)=2,OR(MOD(YEAR(N5),400)=0,AND(MOD(YEAR(N5),4)=0,MOD(YEAR(N5),100)&lt;&gt;0)))),DATE(YEAR(K12),MONTH(K12),DAY(K12+1)),IF(AND(MONTH(N5)=2,OR(K8="",L8="")),DATE(YEAR(K12),MONTH(K12),DAY(K12+1)),"")))</f>
        <v>45377</v>
      </c>
      <c r="M12" s="27">
        <f>IF(OR(DAY(P8+23)=1,DAY(P8+24)=1,DAY(P8+25)=1,L12=""),"",IF(OR(NOT(MONTH(N5)=2),AND(MONTH(N5)=2,OR(MOD(YEAR(N5),400)=0,AND(MOD(YEAR(N5),4)=0,MOD(YEAR(N5),100)&lt;&gt;0)))),DATE(YEAR(L12),MONTH(L12),DAY(L12+1)),IF(AND(MONTH(N5)=2,OR(K8="",L8="")),DATE(YEAR(L12),MONTH(L12),DAY(L12+1)),"")))</f>
        <v>45378</v>
      </c>
      <c r="N12" s="27">
        <f>IF(OR(DAY(P8+23)=1,DAY(P8+24)=1,DAY(P8+25)=1,DAY(P8+26)=1,M12=""),"",IF(OR(NOT(MONTH(N5)=2),AND(MONTH(N5)=2,OR(MOD(YEAR(N5),400)=0,AND(MOD(YEAR(N5),4)=0,MOD(YEAR(N5),100)&lt;&gt;0)))),DATE(YEAR(M12),MONTH(M12),DAY(M12+1)),IF(AND(MONTH(N5)=2,OR(K8="",L8="")),DATE(YEAR(M12),MONTH(M12),DAY(M12+1)),"")))</f>
        <v>45379</v>
      </c>
      <c r="O12" s="27">
        <f>IF(OR(DAY(P8+23)=1,DAY(P8+24)=1,DAY(P8+25)=1,DAY(P8+26)=1,DAY(P8+27)=1,N12=""),"",IF(OR(NOT(MONTH(N5)=2),AND(MONTH(N5)=2,OR(MOD(YEAR(N5),400)=0,AND(MOD(YEAR(N5),4)=0,MOD(YEAR(N5),100)&lt;&gt;0)))),DATE(YEAR(N12),MONTH(N12),DAY(N12+1)),IF(AND(MONTH(N5)=2,OR(K8="",L8="")),DATE(YEAR(N12),MONTH(N12),DAY(N12+1)),"")))</f>
        <v>45380</v>
      </c>
      <c r="P12" s="27">
        <f>IF(OR(DAY(P8+23)=1,DAY(P8+24)=1,DAY(P8+25)=1,DAY(P8+26)=1,DAY(P8+27)=1,DAY(P8+28)=1,O12=""),"",IF(OR(NOT(MONTH(N5)=2),AND(MONTH(N5)=2,OR(MOD(YEAR(N5),400)=0,AND(MOD(YEAR(N5),4)=0,MOD(YEAR(N5),100)&lt;&gt;0)))),DATE(YEAR(O12),MONTH(O12),DAY(O12+1)),IF(AND(MONTH(N5)=2,OR(K8="",L8="")),DATE(YEAR(O12),MONTH(O12),DAY(O12+1)),"")))</f>
        <v>45381</v>
      </c>
      <c r="Q12" s="134">
        <f>IF(ISNA(IF(S12="","",LOOKUP(S12,'Date by Week Number'!$C$2:$FE$2,'Date by Week Number'!$C$5:$FF$5)))=TRUE,"",LOOKUP(S12,'Date by Week Number'!$C$2:$FE$2,'Date by Week Number'!$C$5:$FF$5))</f>
        <v>18</v>
      </c>
      <c r="R12" s="27">
        <f>IF(DAY(X8+22)=1,"",DATE(YEAR(X8),MONTH(X8),DAY(X8+22)))</f>
        <v>45410</v>
      </c>
      <c r="S12" s="27">
        <f>IF(OR(DAY(X8+23)=1,R12=""),"",IF(OR(NOT(MONTH(V5)=2),AND(MONTH(V5)=2,OR(MOD(YEAR(V5),400)=0,AND(MOD(YEAR(V5),4)=0,MOD(YEAR(V5),100)&lt;&gt;0)))),DATE(YEAR(R12),MONTH(R12),DAY(R12+1)),IF(AND(MONTH(V5)=2,OR(S8="",T8="")),DATE(YEAR(R12),MONTH(R12),DAY(R12+1)),"")))</f>
        <v>45411</v>
      </c>
      <c r="T12" s="27">
        <f>IF(OR(DAY(X8+23)=1,DAY(X8+24)=1,S12=""),"",IF(OR(NOT(MONTH(V5)=2),AND(MONTH(V5)=2,OR(MOD(YEAR(V5),400)=0,AND(MOD(YEAR(V5),4)=0,MOD(YEAR(V5),100)&lt;&gt;0)))),DATE(YEAR(S12),MONTH(S12),DAY(S12+1)),IF(AND(MONTH(V5)=2,OR(S8="",T8="")),DATE(YEAR(S12),MONTH(S12),DAY(S12+1)),"")))</f>
        <v>45412</v>
      </c>
      <c r="U12" s="27">
        <f>IF(OR(DAY(X8+23)=1,DAY(X8+24)=1,DAY(X8+25)=1,T12=""),"",IF(OR(NOT(MONTH(V5)=2),AND(MONTH(V5)=2,OR(MOD(YEAR(V5),400)=0,AND(MOD(YEAR(V5),4)=0,MOD(YEAR(V5),100)&lt;&gt;0)))),DATE(YEAR(T12),MONTH(T12),DAY(T12+1)),IF(AND(MONTH(V5)=2,OR(S8="",T8="")),DATE(YEAR(T12),MONTH(T12),DAY(T12+1)),"")))</f>
      </c>
      <c r="V12" s="27">
        <f>IF(OR(DAY(X8+23)=1,DAY(X8+24)=1,DAY(X8+25)=1,DAY(X8+26)=1,U12=""),"",IF(OR(NOT(MONTH(V5)=2),AND(MONTH(V5)=2,OR(MOD(YEAR(V5),400)=0,AND(MOD(YEAR(V5),4)=0,MOD(YEAR(V5),100)&lt;&gt;0)))),DATE(YEAR(U12),MONTH(U12),DAY(U12+1)),IF(AND(MONTH(V5)=2,OR(S8="",T8="")),DATE(YEAR(U12),MONTH(U12),DAY(U12+1)),"")))</f>
      </c>
      <c r="W12" s="27">
        <f>IF(OR(DAY(X8+23)=1,DAY(X8+24)=1,DAY(X8+25)=1,DAY(X8+26)=1,DAY(X8+27)=1,V12=""),"",IF(OR(NOT(MONTH(V5)=2),AND(MONTH(V5)=2,OR(MOD(YEAR(V5),400)=0,AND(MOD(YEAR(V5),4)=0,MOD(YEAR(V5),100)&lt;&gt;0)))),DATE(YEAR(V12),MONTH(V12),DAY(V12+1)),IF(AND(MONTH(V5)=2,OR(S8="",T8="")),DATE(YEAR(V12),MONTH(V12),DAY(V12+1)),"")))</f>
      </c>
      <c r="X12" s="27">
        <f>IF(OR(DAY(X8+23)=1,DAY(X8+24)=1,DAY(X8+25)=1,DAY(X8+26)=1,DAY(X8+27)=1,DAY(X8+28)=1,W12=""),"",IF(OR(NOT(MONTH(V5)=2),AND(MONTH(V5)=2,OR(MOD(YEAR(V5),400)=0,AND(MOD(YEAR(V5),4)=0,MOD(YEAR(V5),100)&lt;&gt;0)))),DATE(YEAR(W12),MONTH(W12),DAY(W12+1)),IF(AND(MONTH(V5)=2,OR(S8="",T8="")),DATE(YEAR(W12),MONTH(W12),DAY(W12+1)),"")))</f>
      </c>
      <c r="Z12" s="7"/>
    </row>
    <row r="13" spans="1:24" ht="27" customHeight="1">
      <c r="A13" s="134">
        <f>IF(C13="","",IF(ISNA(IF(C13="","",LOOKUP(C13,'Date by Week Number'!$C$2:$FE$2,'Date by Week Number'!$C$5:$FF$5)))=TRUE,"",LOOKUP(C13,'Date by Week Number'!$C$2:$FE$2,'Date by Week Number'!$C$5:$FF$5)))</f>
      </c>
      <c r="B13" s="27">
        <f>IF(OR(DAY(H8+24)=1,DAY(H8+25)=1,DAY(H8+26)=1,DAY(H8+27)=1,DAY(H8+28)=1,DAY(H8+29)=1),"",IF(MONTH(H8)=2,"",DATE(YEAR(H12),MONTH(H12),DAY(H12+1))))</f>
      </c>
      <c r="C13" s="27">
        <f>IF(OR(DAY(H8+24)=1,DAY(H8+25)=1,DAY(H8+26)=1,DAY(H8+27)=1,DAY(H8+28)=1,DAY(H8+29)=1,DAY(H8+30)=1),"",IF(OR(MONTH(H8)=2,MONTH(F5)=4,MONTH(F5)=6,MONTH(F5)=9,MONTH(F5)=11),"",DATE(YEAR(B13),MONTH(B13),DAY(B13+1))))</f>
      </c>
      <c r="D13" s="89"/>
      <c r="E13" s="89"/>
      <c r="F13" s="89"/>
      <c r="G13" s="89"/>
      <c r="H13" s="134">
        <f>IF(ISNA(IF(J13="","",LOOKUP(J13,'Date by Week Number'!$C$2:$FE$2,'Date by Week Number'!$C$5:$FF$5)))=TRUE,"",LOOKUP(J13,'Date by Week Number'!$C$2:$FE$2,'Date by Week Number'!$C$5:$FF$5))</f>
        <v>13</v>
      </c>
      <c r="I13" s="134">
        <f>IF(K13="","",IF(ISNA(IF(K13="","",LOOKUP(K13,'Date by Week Number'!$C$2:$FE$2,'Date by Week Number'!$C$5:$FF$5)))=TRUE,"",LOOKUP(K13,'Date by Week Number'!$C$2:$FE$2,'Date by Week Number'!$C$5:$FF$5)))</f>
      </c>
      <c r="J13" s="27">
        <f>IF(OR(DAY(P8+24)=1,DAY(P8+25)=1,DAY(P8+26)=1,DAY(P8+27)=1,DAY(P8+28)=1,DAY(P8+29)=1),"",IF(MONTH(P8)=2,"",DATE(YEAR(P12),MONTH(P12),DAY(P12+1))))</f>
        <v>45382</v>
      </c>
      <c r="K13" s="27">
        <f>IF(OR(DAY(P8+24)=1,DAY(P8+25)=1,DAY(P8+26)=1,DAY(P8+27)=1,DAY(P8+28)=1,DAY(P8+29)=1,DAY(P8+30)=1),"",IF(OR(MONTH(P8)=2,MONTH(N5)=4,MONTH(N5)=6,MONTH(N5)=9,MONTH(N5)=11),"",DATE(YEAR(J13),MONTH(J13),DAY(J13+1))))</f>
      </c>
      <c r="L13" s="89"/>
      <c r="M13" s="89"/>
      <c r="N13" s="89"/>
      <c r="O13" s="89"/>
      <c r="P13" s="89"/>
      <c r="Q13" s="134">
        <f>IF(S13="","",IF(ISNA(IF(S13="","",LOOKUP(S13,'Date by Week Number'!$C$2:$FE$2,'Date by Week Number'!$C$5:$FF$5)))=TRUE,"",LOOKUP(S13,'Date by Week Number'!$C$2:$FE$2,'Date by Week Number'!$C$5:$FF$5)))</f>
      </c>
      <c r="R13" s="27">
        <f>IF(OR(DAY(X8+24)=1,DAY(X8+25)=1,DAY(X8+26)=1,DAY(X8+27)=1,DAY(X8+28)=1,DAY(X8+29)=1),"",IF(MONTH(X8)=2,"",DATE(YEAR(X12),MONTH(X12),DAY(X12+1))))</f>
      </c>
      <c r="S13" s="27">
        <f>IF(OR(DAY(X8+24)=1,DAY(X8+25)=1,DAY(X8+26)=1,DAY(X8+27)=1,DAY(X8+28)=1,DAY(X8+29)=1,DAY(X8+30)=1),"",IF(OR(MONTH(X8)=2,MONTH(V5)=4,MONTH(V5)=6,MONTH(V5)=9,MONTH(V5)=11),"",DATE(YEAR(R13),MONTH(R13),DAY(R13+1))))</f>
      </c>
      <c r="T13" s="89"/>
      <c r="U13" s="89"/>
      <c r="V13" s="89"/>
      <c r="W13" s="89"/>
      <c r="X13" s="89"/>
    </row>
    <row r="14" ht="9" customHeight="1"/>
    <row r="15" spans="2:25" ht="20.25" customHeight="1" thickBot="1">
      <c r="B15" s="136">
        <f>IF(MONTH(R6)=12,TEXT(DATE(YEAR(R6)+1,1,1),"yyyy年m月"),DATE(YEAR(R6),MONTH(R6)+1,1))</f>
        <v>45413</v>
      </c>
      <c r="C15" s="136"/>
      <c r="D15" s="136"/>
      <c r="E15" s="136"/>
      <c r="F15" s="136"/>
      <c r="G15" s="136"/>
      <c r="H15" s="136"/>
      <c r="I15" s="252">
        <f>DATE(YEAR(Y6),MONTH(Y6)+1,1)</f>
        <v>45413</v>
      </c>
      <c r="J15" s="136">
        <f>IF(MONTH(B15)=12,TEXT(DATE(YEAR(B15)+1,1,1),"yyyy年m月"),DATE(YEAR(B15),MONTH(B15)+1,1))</f>
        <v>45444</v>
      </c>
      <c r="K15" s="136"/>
      <c r="L15" s="136"/>
      <c r="M15" s="136"/>
      <c r="N15" s="136"/>
      <c r="O15" s="136"/>
      <c r="P15" s="136"/>
      <c r="Q15" s="252">
        <f>DATE(YEAR(I15),MONTH(I15)+1,1)</f>
        <v>45444</v>
      </c>
      <c r="R15" s="136">
        <f>IF(MONTH(J15)=12,TEXT(DATE(YEAR(J15)+1,1,1),"yyyy年m月"),DATE(YEAR(J15),MONTH(J15)+1,1))</f>
        <v>45474</v>
      </c>
      <c r="S15" s="136"/>
      <c r="T15" s="136"/>
      <c r="U15" s="136"/>
      <c r="V15" s="136"/>
      <c r="W15" s="136"/>
      <c r="X15" s="136"/>
      <c r="Y15" s="7">
        <f>DATE(YEAR(Q15),MONTH(Q15)+1,1)</f>
        <v>45474</v>
      </c>
    </row>
    <row r="16" spans="2:24" ht="20.25" customHeight="1">
      <c r="B16" s="25" t="s">
        <v>26</v>
      </c>
      <c r="C16" s="26" t="s">
        <v>28</v>
      </c>
      <c r="D16" s="26" t="s">
        <v>30</v>
      </c>
      <c r="E16" s="26" t="s">
        <v>32</v>
      </c>
      <c r="F16" s="26" t="s">
        <v>34</v>
      </c>
      <c r="G16" s="26" t="s">
        <v>36</v>
      </c>
      <c r="H16" s="25" t="s">
        <v>38</v>
      </c>
      <c r="I16" s="3"/>
      <c r="J16" s="25" t="s">
        <v>26</v>
      </c>
      <c r="K16" s="26" t="s">
        <v>28</v>
      </c>
      <c r="L16" s="26" t="s">
        <v>30</v>
      </c>
      <c r="M16" s="26" t="s">
        <v>32</v>
      </c>
      <c r="N16" s="26" t="s">
        <v>34</v>
      </c>
      <c r="O16" s="26" t="s">
        <v>36</v>
      </c>
      <c r="P16" s="25" t="s">
        <v>38</v>
      </c>
      <c r="Q16" s="3"/>
      <c r="R16" s="25" t="s">
        <v>26</v>
      </c>
      <c r="S16" s="26" t="s">
        <v>28</v>
      </c>
      <c r="T16" s="26" t="s">
        <v>30</v>
      </c>
      <c r="U16" s="26" t="s">
        <v>32</v>
      </c>
      <c r="V16" s="26" t="s">
        <v>34</v>
      </c>
      <c r="W16" s="26" t="s">
        <v>36</v>
      </c>
      <c r="X16" s="25" t="s">
        <v>38</v>
      </c>
    </row>
    <row r="17" spans="1:24" ht="27" customHeight="1">
      <c r="A17" s="134">
        <f>IF(ISNA(LOOKUP(C18-7,'Date by Week Number'!$C$2:$FE$2,'Date by Week Number'!$C$5:$FF$5))=TRUE,"",LOOKUP(C18-7,'Date by Week Number'!$C$2:$FE$2,'Date by Week Number'!$C$5:$FF$5))</f>
        <v>18</v>
      </c>
      <c r="B17" s="27">
        <f>IF(WEEKDAY(DATE(YEAR(B15),MONTH(B15),DAY(1)),1)=1,DATE(YEAR(B15),MONTH(B15),DAY(1)),"")</f>
      </c>
      <c r="C17" s="27">
        <f>IF(WEEKDAY(DATE(YEAR(B15),MONTH(B15),DAY(1)),1)=2,DATE(YEAR(B15),MONTH(B15),DAY(1)),IF(NOT(B17=""),B17+1,""))</f>
      </c>
      <c r="D17" s="27">
        <f>IF(WEEKDAY(DATE(YEAR(B15),MONTH(B15),DAY(1)),1)=3,DATE(YEAR(B15),MONTH(B15),DAY(1)),IF(NOT(C17=""),C17+1,""))</f>
      </c>
      <c r="E17" s="27">
        <f>IF(WEEKDAY(DATE(YEAR(B15),MONTH(B15),DAY(1)),1)=4,DATE(YEAR(B15),MONTH(B15),DAY(1)),IF(NOT(D17=""),D17+1,""))</f>
        <v>45413</v>
      </c>
      <c r="F17" s="27">
        <f>IF(WEEKDAY(DATE(YEAR(B15),MONTH(B15),DAY(1)),1)=5,DATE(YEAR(B15),MONTH(B15),DAY(1)),IF(NOT(E17=""),E17+1,""))</f>
        <v>45414</v>
      </c>
      <c r="G17" s="27">
        <f>IF(WEEKDAY(DATE(YEAR(B15),MONTH(B15),DAY(1)),1)=6,DATE(YEAR(B15),MONTH(B15),DAY(1)),IF(NOT(F17=""),F17+1,""))</f>
        <v>45415</v>
      </c>
      <c r="H17" s="27">
        <f>IF(WEEKDAY(DATE(YEAR(B15),MONTH(B15),DAY(1)),1)=7,DATE(YEAR(B15),MONTH(B15),DAY(1)),DATE(YEAR(G17),MONTH(G17),DAY(G17+1)))</f>
        <v>45416</v>
      </c>
      <c r="I17" s="134">
        <f>IF(ISNA(LOOKUP(K18-7,'Date by Week Number'!$C$2:$FE$2,'Date by Week Number'!$C$5:$FF$5))=TRUE,"",LOOKUP(K18-7,'Date by Week Number'!$C$2:$FE$2,'Date by Week Number'!$C$5:$FF$5))</f>
        <v>22</v>
      </c>
      <c r="J17" s="27">
        <f>IF(WEEKDAY(DATE(YEAR(J15),MONTH(J15),DAY(1)),1)=1,DATE(YEAR(J15),MONTH(J15),DAY(1)),"")</f>
      </c>
      <c r="K17" s="27">
        <f>IF(WEEKDAY(DATE(YEAR(J15),MONTH(J15),DAY(1)),1)=2,DATE(YEAR(J15),MONTH(J15),DAY(1)),IF(NOT(J17=""),J17+1,""))</f>
      </c>
      <c r="L17" s="27">
        <f>IF(WEEKDAY(DATE(YEAR(J15),MONTH(J15),DAY(1)),1)=3,DATE(YEAR(J15),MONTH(J15),DAY(1)),IF(NOT(K17=""),K17+1,""))</f>
      </c>
      <c r="M17" s="27">
        <f>IF(WEEKDAY(DATE(YEAR(J15),MONTH(J15),DAY(1)),1)=4,DATE(YEAR(J15),MONTH(J15),DAY(1)),IF(NOT(L17=""),L17+1,""))</f>
      </c>
      <c r="N17" s="27">
        <f>IF(WEEKDAY(DATE(YEAR(J15),MONTH(J15),DAY(1)),1)=5,DATE(YEAR(J15),MONTH(J15),DAY(1)),IF(NOT(M17=""),M17+1,""))</f>
      </c>
      <c r="O17" s="27">
        <f>IF(WEEKDAY(DATE(YEAR(J15),MONTH(J15),DAY(1)),1)=6,DATE(YEAR(J15),MONTH(J15),DAY(1)),IF(NOT(N17=""),N17+1,""))</f>
      </c>
      <c r="P17" s="27">
        <f>IF(WEEKDAY(DATE(YEAR(J15),MONTH(J15),DAY(1)),1)=7,DATE(YEAR(J15),MONTH(J15),DAY(1)),DATE(YEAR(O17),MONTH(O17),DAY(O17+1)))</f>
        <v>45444</v>
      </c>
      <c r="Q17" s="134">
        <f>IF(ISNA(LOOKUP(S18-7,'Date by Week Number'!$C$2:$FE$2,'Date by Week Number'!$C$5:$FF$5))=TRUE,"",LOOKUP(S18-7,'Date by Week Number'!$C$2:$FE$2,'Date by Week Number'!$C$5:$FF$5))</f>
        <v>27</v>
      </c>
      <c r="R17" s="27">
        <f>IF(WEEKDAY(DATE(YEAR(R15),MONTH(R15),DAY(1)),1)=1,DATE(YEAR(R15),MONTH(R15),DAY(1)),"")</f>
      </c>
      <c r="S17" s="27">
        <f>IF(WEEKDAY(DATE(YEAR(R15),MONTH(R15),DAY(1)),1)=2,DATE(YEAR(R15),MONTH(R15),DAY(1)),IF(NOT(R17=""),R17+1,""))</f>
        <v>45474</v>
      </c>
      <c r="T17" s="27">
        <f>IF(WEEKDAY(DATE(YEAR(R15),MONTH(R15),DAY(1)),1)=3,DATE(YEAR(R15),MONTH(R15),DAY(1)),IF(NOT(S17=""),S17+1,""))</f>
        <v>45475</v>
      </c>
      <c r="U17" s="27">
        <f>IF(WEEKDAY(DATE(YEAR(R15),MONTH(R15),DAY(1)),1)=4,DATE(YEAR(R15),MONTH(R15),DAY(1)),IF(NOT(T17=""),T17+1,""))</f>
        <v>45476</v>
      </c>
      <c r="V17" s="27">
        <f>IF(WEEKDAY(DATE(YEAR(R15),MONTH(R15),DAY(1)),1)=5,DATE(YEAR(R15),MONTH(R15),DAY(1)),IF(NOT(U17=""),U17+1,""))</f>
        <v>45477</v>
      </c>
      <c r="W17" s="27">
        <f>IF(WEEKDAY(DATE(YEAR(R15),MONTH(R15),DAY(1)),1)=6,DATE(YEAR(R15),MONTH(R15),DAY(1)),IF(NOT(V17=""),V17+1,""))</f>
        <v>45478</v>
      </c>
      <c r="X17" s="27">
        <f>IF(WEEKDAY(DATE(YEAR(R15),MONTH(R15),DAY(1)),1)=7,DATE(YEAR(R15),MONTH(R15),DAY(1)),DATE(YEAR(W17),MONTH(W17),DAY(W17+1)))</f>
        <v>45479</v>
      </c>
    </row>
    <row r="18" spans="1:24" ht="27" customHeight="1">
      <c r="A18" s="134">
        <f>IF(ISNA(IF(C18="","",LOOKUP(C18,'Date by Week Number'!$C$2:$FE$2,'Date by Week Number'!$C$5:$FF$5)))=TRUE,"",LOOKUP(C18,'Date by Week Number'!$C$2:$FE$2,'Date by Week Number'!$C$5:$FF$5))</f>
        <v>19</v>
      </c>
      <c r="B18" s="27">
        <f>DATE(YEAR(H17),MONTH(H17),DAY(H17+1))</f>
        <v>45417</v>
      </c>
      <c r="C18" s="27">
        <f aca="true" t="shared" si="3" ref="C18:H18">DATE(YEAR(B18),MONTH(B18),DAY(B18+1))</f>
        <v>45418</v>
      </c>
      <c r="D18" s="27">
        <f t="shared" si="3"/>
        <v>45419</v>
      </c>
      <c r="E18" s="27">
        <f t="shared" si="3"/>
        <v>45420</v>
      </c>
      <c r="F18" s="27">
        <f t="shared" si="3"/>
        <v>45421</v>
      </c>
      <c r="G18" s="27">
        <f t="shared" si="3"/>
        <v>45422</v>
      </c>
      <c r="H18" s="27">
        <f t="shared" si="3"/>
        <v>45423</v>
      </c>
      <c r="I18" s="134">
        <f>IF(ISNA(IF(K18="","",LOOKUP(K18,'Date by Week Number'!$C$2:$FE$2,'Date by Week Number'!$C$5:$FF$5)))=TRUE,"",LOOKUP(K18,'Date by Week Number'!$C$2:$FE$2,'Date by Week Number'!$C$5:$FF$5))</f>
        <v>23</v>
      </c>
      <c r="J18" s="27">
        <f>DATE(YEAR(P17),MONTH(P17),DAY(P17+1))</f>
        <v>45445</v>
      </c>
      <c r="K18" s="27">
        <f aca="true" t="shared" si="4" ref="K18:P18">DATE(YEAR(J18),MONTH(J18),DAY(J18+1))</f>
        <v>45446</v>
      </c>
      <c r="L18" s="27">
        <f t="shared" si="4"/>
        <v>45447</v>
      </c>
      <c r="M18" s="27">
        <f t="shared" si="4"/>
        <v>45448</v>
      </c>
      <c r="N18" s="27">
        <f t="shared" si="4"/>
        <v>45449</v>
      </c>
      <c r="O18" s="27">
        <f t="shared" si="4"/>
        <v>45450</v>
      </c>
      <c r="P18" s="27">
        <f t="shared" si="4"/>
        <v>45451</v>
      </c>
      <c r="Q18" s="134">
        <f>IF(ISNA(IF(S18="","",LOOKUP(S18,'Date by Week Number'!$C$2:$FE$2,'Date by Week Number'!$C$5:$FF$5)))=TRUE,"",LOOKUP(S18,'Date by Week Number'!$C$2:$FE$2,'Date by Week Number'!$C$5:$FF$5))</f>
        <v>28</v>
      </c>
      <c r="R18" s="27">
        <f>DATE(YEAR(X17),MONTH(X17),DAY(X17+1))</f>
        <v>45480</v>
      </c>
      <c r="S18" s="27">
        <f aca="true" t="shared" si="5" ref="S18:X18">DATE(YEAR(R18),MONTH(R18),DAY(R18+1))</f>
        <v>45481</v>
      </c>
      <c r="T18" s="27">
        <f t="shared" si="5"/>
        <v>45482</v>
      </c>
      <c r="U18" s="27">
        <f t="shared" si="5"/>
        <v>45483</v>
      </c>
      <c r="V18" s="27">
        <f t="shared" si="5"/>
        <v>45484</v>
      </c>
      <c r="W18" s="27">
        <f t="shared" si="5"/>
        <v>45485</v>
      </c>
      <c r="X18" s="27">
        <f t="shared" si="5"/>
        <v>45486</v>
      </c>
    </row>
    <row r="19" spans="1:24" ht="27" customHeight="1">
      <c r="A19" s="134">
        <f>IF(ISNA(IF(C19="","",LOOKUP(C19,'Date by Week Number'!$C$2:$FE$2,'Date by Week Number'!$C$5:$FF$5)))=TRUE,"",LOOKUP(C19,'Date by Week Number'!$C$2:$FE$2,'Date by Week Number'!$C$5:$FF$5))</f>
        <v>20</v>
      </c>
      <c r="B19" s="27">
        <f>DATE(YEAR(H18),MONTH(H18),DAY(H18+1))</f>
        <v>45424</v>
      </c>
      <c r="C19" s="27">
        <f aca="true" t="shared" si="6" ref="C19:H19">DATE(YEAR(B19),MONTH(B19),DAY(B19+1))</f>
        <v>45425</v>
      </c>
      <c r="D19" s="27">
        <f t="shared" si="6"/>
        <v>45426</v>
      </c>
      <c r="E19" s="27">
        <f t="shared" si="6"/>
        <v>45427</v>
      </c>
      <c r="F19" s="27">
        <f t="shared" si="6"/>
        <v>45428</v>
      </c>
      <c r="G19" s="27">
        <f t="shared" si="6"/>
        <v>45429</v>
      </c>
      <c r="H19" s="27">
        <f t="shared" si="6"/>
        <v>45430</v>
      </c>
      <c r="I19" s="134">
        <f>IF(ISNA(IF(K19="","",LOOKUP(K19,'Date by Week Number'!$C$2:$FE$2,'Date by Week Number'!$C$5:$FF$5)))=TRUE,"",LOOKUP(K19,'Date by Week Number'!$C$2:$FE$2,'Date by Week Number'!$C$5:$FF$5))</f>
        <v>24</v>
      </c>
      <c r="J19" s="27">
        <f>DATE(YEAR(P18),MONTH(P18),DAY(P18+1))</f>
        <v>45452</v>
      </c>
      <c r="K19" s="27">
        <f aca="true" t="shared" si="7" ref="K19:P19">DATE(YEAR(J19),MONTH(J19),DAY(J19+1))</f>
        <v>45453</v>
      </c>
      <c r="L19" s="27">
        <f t="shared" si="7"/>
        <v>45454</v>
      </c>
      <c r="M19" s="27">
        <f t="shared" si="7"/>
        <v>45455</v>
      </c>
      <c r="N19" s="27">
        <f t="shared" si="7"/>
        <v>45456</v>
      </c>
      <c r="O19" s="27">
        <f t="shared" si="7"/>
        <v>45457</v>
      </c>
      <c r="P19" s="27">
        <f t="shared" si="7"/>
        <v>45458</v>
      </c>
      <c r="Q19" s="134">
        <f>IF(ISNA(IF(S19="","",LOOKUP(S19,'Date by Week Number'!$C$2:$FE$2,'Date by Week Number'!$C$5:$FF$5)))=TRUE,"",LOOKUP(S19,'Date by Week Number'!$C$2:$FE$2,'Date by Week Number'!$C$5:$FF$5))</f>
        <v>29</v>
      </c>
      <c r="R19" s="27">
        <f>DATE(YEAR(X18),MONTH(X18),DAY(X18+1))</f>
        <v>45487</v>
      </c>
      <c r="S19" s="27">
        <f aca="true" t="shared" si="8" ref="S19:X19">DATE(YEAR(R19),MONTH(R19),DAY(R19+1))</f>
        <v>45488</v>
      </c>
      <c r="T19" s="27">
        <f t="shared" si="8"/>
        <v>45489</v>
      </c>
      <c r="U19" s="27">
        <f t="shared" si="8"/>
        <v>45490</v>
      </c>
      <c r="V19" s="27">
        <f t="shared" si="8"/>
        <v>45491</v>
      </c>
      <c r="W19" s="27">
        <f t="shared" si="8"/>
        <v>45492</v>
      </c>
      <c r="X19" s="27">
        <f t="shared" si="8"/>
        <v>45493</v>
      </c>
    </row>
    <row r="20" spans="1:24" ht="27" customHeight="1">
      <c r="A20" s="134">
        <f>IF(ISNA(IF(C20="","",LOOKUP(C20,'Date by Week Number'!$C$2:$FE$2,'Date by Week Number'!$C$5:$FF$5)))=TRUE,"",LOOKUP(C20,'Date by Week Number'!$C$2:$FE$2,'Date by Week Number'!$C$5:$FF$5))</f>
        <v>21</v>
      </c>
      <c r="B20" s="27">
        <f>DATE(YEAR(H19),MONTH(H19),DAY(H19+1))</f>
        <v>45431</v>
      </c>
      <c r="C20" s="27">
        <f aca="true" t="shared" si="9" ref="C20:H20">DATE(YEAR(B20),MONTH(B20),DAY(B20+1))</f>
        <v>45432</v>
      </c>
      <c r="D20" s="27">
        <f t="shared" si="9"/>
        <v>45433</v>
      </c>
      <c r="E20" s="27">
        <f t="shared" si="9"/>
        <v>45434</v>
      </c>
      <c r="F20" s="27">
        <f t="shared" si="9"/>
        <v>45435</v>
      </c>
      <c r="G20" s="27">
        <f t="shared" si="9"/>
        <v>45436</v>
      </c>
      <c r="H20" s="27">
        <f t="shared" si="9"/>
        <v>45437</v>
      </c>
      <c r="I20" s="134">
        <f>IF(ISNA(IF(K20="","",LOOKUP(K20,'Date by Week Number'!$C$2:$FE$2,'Date by Week Number'!$C$5:$FF$5)))=TRUE,"",LOOKUP(K20,'Date by Week Number'!$C$2:$FE$2,'Date by Week Number'!$C$5:$FF$5))</f>
        <v>25</v>
      </c>
      <c r="J20" s="27">
        <f>DATE(YEAR(P19),MONTH(P19),DAY(P19+1))</f>
        <v>45459</v>
      </c>
      <c r="K20" s="27">
        <f aca="true" t="shared" si="10" ref="K20:P20">DATE(YEAR(J20),MONTH(J20),DAY(J20+1))</f>
        <v>45460</v>
      </c>
      <c r="L20" s="27">
        <f t="shared" si="10"/>
        <v>45461</v>
      </c>
      <c r="M20" s="27">
        <f t="shared" si="10"/>
        <v>45462</v>
      </c>
      <c r="N20" s="27">
        <f t="shared" si="10"/>
        <v>45463</v>
      </c>
      <c r="O20" s="27">
        <f t="shared" si="10"/>
        <v>45464</v>
      </c>
      <c r="P20" s="27">
        <f t="shared" si="10"/>
        <v>45465</v>
      </c>
      <c r="Q20" s="134">
        <f>IF(ISNA(IF(S20="","",LOOKUP(S20,'Date by Week Number'!$C$2:$FE$2,'Date by Week Number'!$C$5:$FF$5)))=TRUE,"",LOOKUP(S20,'Date by Week Number'!$C$2:$FE$2,'Date by Week Number'!$C$5:$FF$5))</f>
        <v>30</v>
      </c>
      <c r="R20" s="27">
        <f>DATE(YEAR(X19),MONTH(X19),DAY(X19+1))</f>
        <v>45494</v>
      </c>
      <c r="S20" s="27">
        <f aca="true" t="shared" si="11" ref="S20:X20">DATE(YEAR(R20),MONTH(R20),DAY(R20+1))</f>
        <v>45495</v>
      </c>
      <c r="T20" s="27">
        <f t="shared" si="11"/>
        <v>45496</v>
      </c>
      <c r="U20" s="27">
        <f t="shared" si="11"/>
        <v>45497</v>
      </c>
      <c r="V20" s="27">
        <f t="shared" si="11"/>
        <v>45498</v>
      </c>
      <c r="W20" s="27">
        <f t="shared" si="11"/>
        <v>45499</v>
      </c>
      <c r="X20" s="27">
        <f t="shared" si="11"/>
        <v>45500</v>
      </c>
    </row>
    <row r="21" spans="1:24" ht="27" customHeight="1">
      <c r="A21" s="134">
        <f>IF(ISNA(IF(C21="","",LOOKUP(C21,'Date by Week Number'!$C$2:$FE$2,'Date by Week Number'!$C$5:$FF$5)))=TRUE,"",LOOKUP(C21,'Date by Week Number'!$C$2:$FE$2,'Date by Week Number'!$C$5:$FF$5))</f>
        <v>22</v>
      </c>
      <c r="B21" s="27">
        <f>IF(DAY(H17+22)=1,"",DATE(YEAR(H17),MONTH(H17),DAY(H17+22)))</f>
        <v>45438</v>
      </c>
      <c r="C21" s="27">
        <f>IF(OR(DAY(H17+23)=1,B21=""),"",IF(OR(NOT(MONTH(F14)=2),AND(MONTH(F14)=2,OR(MOD(YEAR(F14),400)=0,AND(MOD(YEAR(F14),4)=0,MOD(YEAR(F14),100)&lt;&gt;0)))),DATE(YEAR(B21),MONTH(B21),DAY(B21+1)),IF(AND(MONTH(F14)=2,OR(C17="",D17="")),DATE(YEAR(B21),MONTH(B21),DAY(B21+1)),"")))</f>
        <v>45439</v>
      </c>
      <c r="D21" s="27">
        <f>IF(OR(DAY(H17+23)=1,DAY(H17+24)=1,C21=""),"",IF(OR(NOT(MONTH(F14)=2),AND(MONTH(F14)=2,OR(MOD(YEAR(F14),400)=0,AND(MOD(YEAR(F14),4)=0,MOD(YEAR(F14),100)&lt;&gt;0)))),DATE(YEAR(C21),MONTH(C21),DAY(C21+1)),IF(AND(MONTH(F14)=2,OR(C17="",D17="")),DATE(YEAR(C21),MONTH(C21),DAY(C21+1)),"")))</f>
        <v>45440</v>
      </c>
      <c r="E21" s="27">
        <f>IF(OR(DAY(H17+23)=1,DAY(H17+24)=1,DAY(H17+25)=1,D21=""),"",IF(OR(NOT(MONTH(F14)=2),AND(MONTH(F14)=2,OR(MOD(YEAR(F14),400)=0,AND(MOD(YEAR(F14),4)=0,MOD(YEAR(F14),100)&lt;&gt;0)))),DATE(YEAR(D21),MONTH(D21),DAY(D21+1)),IF(AND(MONTH(F14)=2,OR(C17="",D17="")),DATE(YEAR(D21),MONTH(D21),DAY(D21+1)),"")))</f>
        <v>45441</v>
      </c>
      <c r="F21" s="27">
        <f>IF(OR(DAY(H17+23)=1,DAY(H17+24)=1,DAY(H17+25)=1,DAY(H17+26)=1,E21=""),"",IF(OR(NOT(MONTH(F14)=2),AND(MONTH(F14)=2,OR(MOD(YEAR(F14),400)=0,AND(MOD(YEAR(F14),4)=0,MOD(YEAR(F14),100)&lt;&gt;0)))),DATE(YEAR(E21),MONTH(E21),DAY(E21+1)),IF(AND(MONTH(F14)=2,OR(C17="",D17="")),DATE(YEAR(E21),MONTH(E21),DAY(E21+1)),"")))</f>
        <v>45442</v>
      </c>
      <c r="G21" s="27">
        <f>IF(OR(DAY(H17+23)=1,DAY(H17+24)=1,DAY(H17+25)=1,DAY(H17+26)=1,DAY(H17+27)=1,F21=""),"",IF(OR(NOT(MONTH(F14)=2),AND(MONTH(F14)=2,OR(MOD(YEAR(F14),400)=0,AND(MOD(YEAR(F14),4)=0,MOD(YEAR(F14),100)&lt;&gt;0)))),DATE(YEAR(F21),MONTH(F21),DAY(F21+1)),IF(AND(MONTH(F14)=2,OR(C17="",D17="")),DATE(YEAR(F21),MONTH(F21),DAY(F21+1)),"")))</f>
        <v>45443</v>
      </c>
      <c r="H21" s="27">
        <f>IF(OR(DAY(H17+23)=1,DAY(H17+24)=1,DAY(H17+25)=1,DAY(H17+26)=1,DAY(H17+27)=1,DAY(H17+28)=1,G21=""),"",IF(OR(NOT(MONTH(F14)=2),AND(MONTH(F14)=2,OR(MOD(YEAR(F14),400)=0,AND(MOD(YEAR(F14),4)=0,MOD(YEAR(F14),100)&lt;&gt;0)))),DATE(YEAR(G21),MONTH(G21),DAY(G21+1)),IF(AND(MONTH(F14)=2,OR(C17="",D17="")),DATE(YEAR(G21),MONTH(G21),DAY(G21+1)),"")))</f>
      </c>
      <c r="I21" s="134">
        <f>IF(ISNA(IF(K21="","",LOOKUP(K21,'Date by Week Number'!$C$2:$FE$2,'Date by Week Number'!$C$5:$FF$5)))=TRUE,"",LOOKUP(K21,'Date by Week Number'!$C$2:$FE$2,'Date by Week Number'!$C$5:$FF$5))</f>
        <v>26</v>
      </c>
      <c r="J21" s="27">
        <f>IF(DAY(P17+22)=1,"",DATE(YEAR(P17),MONTH(P17),DAY(P17+22)))</f>
        <v>45466</v>
      </c>
      <c r="K21" s="27">
        <f>IF(OR(DAY(P17+23)=1,J21=""),"",IF(OR(NOT(MONTH(N14)=2),AND(MONTH(N14)=2,OR(MOD(YEAR(N14),400)=0,AND(MOD(YEAR(N14),4)=0,MOD(YEAR(N14),100)&lt;&gt;0)))),DATE(YEAR(J21),MONTH(J21),DAY(J21+1)),IF(AND(MONTH(N14)=2,OR(K17="",L17="")),DATE(YEAR(J21),MONTH(J21),DAY(J21+1)),"")))</f>
        <v>45467</v>
      </c>
      <c r="L21" s="27">
        <f>IF(OR(DAY(P17+23)=1,DAY(P17+24)=1,K21=""),"",IF(OR(NOT(MONTH(N14)=2),AND(MONTH(N14)=2,OR(MOD(YEAR(N14),400)=0,AND(MOD(YEAR(N14),4)=0,MOD(YEAR(N14),100)&lt;&gt;0)))),DATE(YEAR(K21),MONTH(K21),DAY(K21+1)),IF(AND(MONTH(N14)=2,OR(K17="",L17="")),DATE(YEAR(K21),MONTH(K21),DAY(K21+1)),"")))</f>
        <v>45468</v>
      </c>
      <c r="M21" s="27">
        <f>IF(OR(DAY(P17+23)=1,DAY(P17+24)=1,DAY(P17+25)=1,L21=""),"",IF(OR(NOT(MONTH(N14)=2),AND(MONTH(N14)=2,OR(MOD(YEAR(N14),400)=0,AND(MOD(YEAR(N14),4)=0,MOD(YEAR(N14),100)&lt;&gt;0)))),DATE(YEAR(L21),MONTH(L21),DAY(L21+1)),IF(AND(MONTH(N14)=2,OR(K17="",L17="")),DATE(YEAR(L21),MONTH(L21),DAY(L21+1)),"")))</f>
        <v>45469</v>
      </c>
      <c r="N21" s="27">
        <f>IF(OR(DAY(P17+23)=1,DAY(P17+24)=1,DAY(P17+25)=1,DAY(P17+26)=1,M21=""),"",IF(OR(NOT(MONTH(N14)=2),AND(MONTH(N14)=2,OR(MOD(YEAR(N14),400)=0,AND(MOD(YEAR(N14),4)=0,MOD(YEAR(N14),100)&lt;&gt;0)))),DATE(YEAR(M21),MONTH(M21),DAY(M21+1)),IF(AND(MONTH(N14)=2,OR(K17="",L17="")),DATE(YEAR(M21),MONTH(M21),DAY(M21+1)),"")))</f>
        <v>45470</v>
      </c>
      <c r="O21" s="27">
        <f>IF(OR(DAY(P17+23)=1,DAY(P17+24)=1,DAY(P17+25)=1,DAY(P17+26)=1,DAY(P17+27)=1,N21=""),"",IF(OR(NOT(MONTH(N14)=2),AND(MONTH(N14)=2,OR(MOD(YEAR(N14),400)=0,AND(MOD(YEAR(N14),4)=0,MOD(YEAR(N14),100)&lt;&gt;0)))),DATE(YEAR(N21),MONTH(N21),DAY(N21+1)),IF(AND(MONTH(N14)=2,OR(K17="",L17="")),DATE(YEAR(N21),MONTH(N21),DAY(N21+1)),"")))</f>
        <v>45471</v>
      </c>
      <c r="P21" s="27">
        <f>IF(OR(DAY(P17+23)=1,DAY(P17+24)=1,DAY(P17+25)=1,DAY(P17+26)=1,DAY(P17+27)=1,DAY(P17+28)=1,O21=""),"",IF(OR(NOT(MONTH(N14)=2),AND(MONTH(N14)=2,OR(MOD(YEAR(N14),400)=0,AND(MOD(YEAR(N14),4)=0,MOD(YEAR(N14),100)&lt;&gt;0)))),DATE(YEAR(O21),MONTH(O21),DAY(O21+1)),IF(AND(MONTH(N14)=2,OR(K17="",L17="")),DATE(YEAR(O21),MONTH(O21),DAY(O21+1)),"")))</f>
        <v>45472</v>
      </c>
      <c r="Q21" s="134">
        <f>IF(ISNA(IF(S21="","",LOOKUP(S21,'Date by Week Number'!$C$2:$FE$2,'Date by Week Number'!$C$5:$FF$5)))=TRUE,"",LOOKUP(S21,'Date by Week Number'!$C$2:$FE$2,'Date by Week Number'!$C$5:$FF$5))</f>
        <v>31</v>
      </c>
      <c r="R21" s="27">
        <f>IF(DAY(X17+22)=1,"",DATE(YEAR(X17),MONTH(X17),DAY(X17+22)))</f>
        <v>45501</v>
      </c>
      <c r="S21" s="27">
        <f>IF(OR(DAY(X17+23)=1,R21=""),"",IF(OR(NOT(MONTH(V14)=2),AND(MONTH(V14)=2,OR(MOD(YEAR(V14),400)=0,AND(MOD(YEAR(V14),4)=0,MOD(YEAR(V14),100)&lt;&gt;0)))),DATE(YEAR(R21),MONTH(R21),DAY(R21+1)),IF(AND(MONTH(V14)=2,OR(S17="",T17="")),DATE(YEAR(R21),MONTH(R21),DAY(R21+1)),"")))</f>
        <v>45502</v>
      </c>
      <c r="T21" s="27">
        <f>IF(OR(DAY(X17+23)=1,DAY(X17+24)=1,S21=""),"",IF(OR(NOT(MONTH(V14)=2),AND(MONTH(V14)=2,OR(MOD(YEAR(V14),400)=0,AND(MOD(YEAR(V14),4)=0,MOD(YEAR(V14),100)&lt;&gt;0)))),DATE(YEAR(S21),MONTH(S21),DAY(S21+1)),IF(AND(MONTH(V14)=2,OR(S17="",T17="")),DATE(YEAR(S21),MONTH(S21),DAY(S21+1)),"")))</f>
        <v>45503</v>
      </c>
      <c r="U21" s="27">
        <f>IF(OR(DAY(X17+23)=1,DAY(X17+24)=1,DAY(X17+25)=1,T21=""),"",IF(OR(NOT(MONTH(V14)=2),AND(MONTH(V14)=2,OR(MOD(YEAR(V14),400)=0,AND(MOD(YEAR(V14),4)=0,MOD(YEAR(V14),100)&lt;&gt;0)))),DATE(YEAR(T21),MONTH(T21),DAY(T21+1)),IF(AND(MONTH(V14)=2,OR(S17="",T17="")),DATE(YEAR(T21),MONTH(T21),DAY(T21+1)),"")))</f>
        <v>45504</v>
      </c>
      <c r="V21" s="27">
        <f>IF(OR(DAY(X17+23)=1,DAY(X17+24)=1,DAY(X17+25)=1,DAY(X17+26)=1,U21=""),"",IF(OR(NOT(MONTH(V14)=2),AND(MONTH(V14)=2,OR(MOD(YEAR(V14),400)=0,AND(MOD(YEAR(V14),4)=0,MOD(YEAR(V14),100)&lt;&gt;0)))),DATE(YEAR(U21),MONTH(U21),DAY(U21+1)),IF(AND(MONTH(V14)=2,OR(S17="",T17="")),DATE(YEAR(U21),MONTH(U21),DAY(U21+1)),"")))</f>
      </c>
      <c r="W21" s="27">
        <f>IF(OR(DAY(X17+23)=1,DAY(X17+24)=1,DAY(X17+25)=1,DAY(X17+26)=1,DAY(X17+27)=1,V21=""),"",IF(OR(NOT(MONTH(V14)=2),AND(MONTH(V14)=2,OR(MOD(YEAR(V14),400)=0,AND(MOD(YEAR(V14),4)=0,MOD(YEAR(V14),100)&lt;&gt;0)))),DATE(YEAR(V21),MONTH(V21),DAY(V21+1)),IF(AND(MONTH(V14)=2,OR(S17="",T17="")),DATE(YEAR(V21),MONTH(V21),DAY(V21+1)),"")))</f>
      </c>
      <c r="X21" s="27">
        <f>IF(OR(DAY(X17+23)=1,DAY(X17+24)=1,DAY(X17+25)=1,DAY(X17+26)=1,DAY(X17+27)=1,DAY(X17+28)=1,W21=""),"",IF(OR(NOT(MONTH(V14)=2),AND(MONTH(V14)=2,OR(MOD(YEAR(V14),400)=0,AND(MOD(YEAR(V14),4)=0,MOD(YEAR(V14),100)&lt;&gt;0)))),DATE(YEAR(W21),MONTH(W21),DAY(W21+1)),IF(AND(MONTH(V14)=2,OR(S17="",T17="")),DATE(YEAR(W21),MONTH(W21),DAY(W21+1)),"")))</f>
      </c>
    </row>
    <row r="22" spans="1:24" ht="27" customHeight="1">
      <c r="A22" s="134">
        <f>IF(C22="","",IF(ISNA(IF(C22="","",LOOKUP(C22,'Date by Week Number'!$C$2:$FE$2,'Date by Week Number'!$C$5:$FF$5)))=TRUE,"",LOOKUP(C22,'Date by Week Number'!$C$2:$FE$2,'Date by Week Number'!$C$5:$FF$5)))</f>
      </c>
      <c r="B22" s="27">
        <f>IF(OR(DAY(H17+24)=1,DAY(H17+25)=1,DAY(H17+26)=1,DAY(H17+27)=1,DAY(H17+28)=1,DAY(H17+29)=1),"",IF(MONTH(H17)=2,"",DATE(YEAR(H21),MONTH(H21),DAY(H21+1))))</f>
      </c>
      <c r="C22" s="27">
        <f>IF(OR(DAY(H17+24)=1,DAY(H17+25)=1,DAY(H17+26)=1,DAY(H17+27)=1,DAY(H17+28)=1,DAY(H17+29)=1,DAY(H17+30)=1),"",IF(OR(MONTH(H17)=2,MONTH(F14)=4,MONTH(F14)=6,MONTH(F14)=9,MONTH(F14)=11),"",DATE(YEAR(B22),MONTH(B22),DAY(B22+1))))</f>
      </c>
      <c r="D22" s="89"/>
      <c r="E22" s="89"/>
      <c r="F22" s="89"/>
      <c r="G22" s="89"/>
      <c r="H22" s="89"/>
      <c r="I22" s="134">
        <f>IF(K22="","",IF(ISNA(IF(K22="","",LOOKUP(K22,'Date by Week Number'!$C$2:$FE$2,'Date by Week Number'!$C$5:$FF$5)))=TRUE,"",LOOKUP(K22,'Date by Week Number'!$C$2:$FE$2,'Date by Week Number'!$C$5:$FF$5)))</f>
      </c>
      <c r="J22" s="27">
        <f>IF(OR(DAY(P17+24)=1,DAY(P17+25)=1,DAY(P17+26)=1,DAY(P17+27)=1,DAY(P17+28)=1,DAY(P17+29)=1),"",IF(MONTH(P17)=2,"",DATE(YEAR(P21),MONTH(P21),DAY(P21+1))))</f>
        <v>45473</v>
      </c>
      <c r="K22" s="27">
        <f>IF(OR(DAY(P17+24)=1,DAY(P17+25)=1,DAY(P17+26)=1,DAY(P17+27)=1,DAY(P17+28)=1,DAY(P17+29)=1,DAY(P17+30)=1),"",IF(OR(MONTH(P17)=2,MONTH(N14)=4,MONTH(N14)=6,MONTH(N14)=9,MONTH(N14)=11),"",DATE(YEAR(J22),MONTH(J22),DAY(J22+1))))</f>
      </c>
      <c r="L22" s="89"/>
      <c r="M22" s="89"/>
      <c r="N22" s="89"/>
      <c r="O22" s="89"/>
      <c r="P22" s="89"/>
      <c r="Q22" s="134">
        <f>IF(S22="","",IF(ISNA(IF(S22="","",LOOKUP(S22,'Date by Week Number'!$C$2:$FE$2,'Date by Week Number'!$C$5:$FF$5)))=TRUE,"",LOOKUP(S22,'Date by Week Number'!$C$2:$FE$2,'Date by Week Number'!$C$5:$FF$5)))</f>
      </c>
      <c r="R22" s="27">
        <f>IF(OR(DAY(X17+24)=1,DAY(X17+25)=1,DAY(X17+26)=1,DAY(X17+27)=1,DAY(X17+28)=1,DAY(X17+29)=1),"",IF(MONTH(X17)=2,"",DATE(YEAR(X21),MONTH(X21),DAY(X21+1))))</f>
      </c>
      <c r="S22" s="27">
        <f>IF(OR(DAY(X17+24)=1,DAY(X17+25)=1,DAY(X17+26)=1,DAY(X17+27)=1,DAY(X17+28)=1,DAY(X17+29)=1,DAY(X17+30)=1),"",IF(OR(MONTH(X17)=2,MONTH(V14)=4,MONTH(V14)=6,MONTH(V14)=9,MONTH(V14)=11),"",DATE(YEAR(R22),MONTH(R22),DAY(R22+1))))</f>
      </c>
      <c r="T22" s="89"/>
      <c r="U22" s="89"/>
      <c r="V22" s="89"/>
      <c r="W22" s="89"/>
      <c r="X22" s="89"/>
    </row>
    <row r="23" ht="9" customHeight="1"/>
    <row r="24" spans="2:25" ht="20.25" customHeight="1" thickBot="1">
      <c r="B24" s="136">
        <f>IF(MONTH(R15)=12,TEXT(DATE(YEAR(R15)+1,1,1),"yyyy年m月"),DATE(YEAR(R15),MONTH(R15)+1,1))</f>
        <v>45505</v>
      </c>
      <c r="C24" s="136"/>
      <c r="D24" s="136"/>
      <c r="E24" s="136"/>
      <c r="F24" s="136"/>
      <c r="G24" s="136"/>
      <c r="H24" s="136"/>
      <c r="I24" s="252">
        <f>DATE(YEAR(Y15),MONTH(Y15)+1,1)</f>
        <v>45505</v>
      </c>
      <c r="J24" s="136">
        <f>IF(MONTH(B24)=12,TEXT(DATE(YEAR(B24)+1,1,1),"yyyy年m月"),DATE(YEAR(B24),MONTH(B24)+1,1))</f>
        <v>45536</v>
      </c>
      <c r="K24" s="136"/>
      <c r="L24" s="136"/>
      <c r="M24" s="136"/>
      <c r="N24" s="136"/>
      <c r="O24" s="136"/>
      <c r="P24" s="136"/>
      <c r="Q24" s="252">
        <f>DATE(YEAR(I24),MONTH(I24)+1,1)</f>
        <v>45536</v>
      </c>
      <c r="R24" s="136">
        <f>IF(MONTH(J24)=12,TEXT(DATE(YEAR(J24)+1,1,1),"yyyy年m月"),DATE(YEAR(J24),MONTH(J24)+1,1))</f>
        <v>45566</v>
      </c>
      <c r="S24" s="136"/>
      <c r="T24" s="136"/>
      <c r="U24" s="136"/>
      <c r="V24" s="136"/>
      <c r="W24" s="136"/>
      <c r="X24" s="136"/>
      <c r="Y24" s="5">
        <f>IF(MONTH(Q24)=12,DATE(YEAR(Q24)+1,MONTH(Q24)-11,1),DATE(YEAR(Q24),MONTH(Q24)+1,1))</f>
        <v>45566</v>
      </c>
    </row>
    <row r="25" spans="2:24" ht="20.25" customHeight="1">
      <c r="B25" s="25" t="s">
        <v>26</v>
      </c>
      <c r="C25" s="26" t="s">
        <v>28</v>
      </c>
      <c r="D25" s="26" t="s">
        <v>30</v>
      </c>
      <c r="E25" s="26" t="s">
        <v>32</v>
      </c>
      <c r="F25" s="26" t="s">
        <v>34</v>
      </c>
      <c r="G25" s="26" t="s">
        <v>36</v>
      </c>
      <c r="H25" s="25" t="s">
        <v>38</v>
      </c>
      <c r="I25" s="3"/>
      <c r="J25" s="25" t="s">
        <v>26</v>
      </c>
      <c r="K25" s="26" t="s">
        <v>28</v>
      </c>
      <c r="L25" s="26" t="s">
        <v>30</v>
      </c>
      <c r="M25" s="26" t="s">
        <v>32</v>
      </c>
      <c r="N25" s="26" t="s">
        <v>34</v>
      </c>
      <c r="O25" s="26" t="s">
        <v>36</v>
      </c>
      <c r="P25" s="25" t="s">
        <v>38</v>
      </c>
      <c r="Q25" s="3"/>
      <c r="R25" s="25" t="s">
        <v>26</v>
      </c>
      <c r="S25" s="26" t="s">
        <v>28</v>
      </c>
      <c r="T25" s="26" t="s">
        <v>30</v>
      </c>
      <c r="U25" s="26" t="s">
        <v>32</v>
      </c>
      <c r="V25" s="26" t="s">
        <v>34</v>
      </c>
      <c r="W25" s="26" t="s">
        <v>36</v>
      </c>
      <c r="X25" s="25" t="s">
        <v>38</v>
      </c>
    </row>
    <row r="26" spans="1:24" ht="27" customHeight="1">
      <c r="A26" s="134">
        <f>IF(ISNA(LOOKUP(C27-7,'Date by Week Number'!$C$2:$FE$2,'Date by Week Number'!$C$5:$FF$5))=TRUE,"",LOOKUP(C27-7,'Date by Week Number'!$C$2:$FE$2,'Date by Week Number'!$C$5:$FF$5))</f>
        <v>31</v>
      </c>
      <c r="B26" s="27">
        <f>IF(WEEKDAY(DATE(YEAR(B24),MONTH(B24),DAY(1)),1)=1,DATE(YEAR(B24),MONTH(B24),DAY(1)),"")</f>
      </c>
      <c r="C26" s="27">
        <f>IF(WEEKDAY(DATE(YEAR(B24),MONTH(B24),DAY(1)),1)=2,DATE(YEAR(B24),MONTH(B24),DAY(1)),IF(NOT(B26=""),B26+1,""))</f>
      </c>
      <c r="D26" s="27">
        <f>IF(WEEKDAY(DATE(YEAR(B24),MONTH(B24),DAY(1)),1)=3,DATE(YEAR(B24),MONTH(B24),DAY(1)),IF(NOT(C26=""),C26+1,""))</f>
      </c>
      <c r="E26" s="27">
        <f>IF(WEEKDAY(DATE(YEAR(B24),MONTH(B24),DAY(1)),1)=4,DATE(YEAR(B24),MONTH(B24),DAY(1)),IF(NOT(D26=""),D26+1,""))</f>
      </c>
      <c r="F26" s="27">
        <f>IF(WEEKDAY(DATE(YEAR(B24),MONTH(B24),DAY(1)),1)=5,DATE(YEAR(B24),MONTH(B24),DAY(1)),IF(NOT(E26=""),E26+1,""))</f>
        <v>45505</v>
      </c>
      <c r="G26" s="27">
        <f>IF(WEEKDAY(DATE(YEAR(B24),MONTH(B24),DAY(1)),1)=6,DATE(YEAR(B24),MONTH(B24),DAY(1)),IF(NOT(F26=""),F26+1,""))</f>
        <v>45506</v>
      </c>
      <c r="H26" s="27">
        <f>IF(WEEKDAY(DATE(YEAR(B24),MONTH(B24),DAY(1)),1)=7,DATE(YEAR(B24),MONTH(B24),DAY(1)),DATE(YEAR(G26),MONTH(G26),DAY(G26+1)))</f>
        <v>45507</v>
      </c>
      <c r="I26" s="134">
        <f>IF(ISNA(LOOKUP(K27-7,'Date by Week Number'!$C$2:$FE$2,'Date by Week Number'!$C$5:$FF$5))=TRUE,"",LOOKUP(K27-7,'Date by Week Number'!$C$2:$FE$2,'Date by Week Number'!$C$5:$FF$5))</f>
        <v>36</v>
      </c>
      <c r="J26" s="27">
        <f>IF(WEEKDAY(DATE(YEAR(J24),MONTH(J24),DAY(1)),1)=1,DATE(YEAR(J24),MONTH(J24),DAY(1)),"")</f>
        <v>45536</v>
      </c>
      <c r="K26" s="27">
        <f>IF(WEEKDAY(DATE(YEAR(J24),MONTH(J24),DAY(1)),1)=2,DATE(YEAR(J24),MONTH(J24),DAY(1)),IF(NOT(J26=""),J26+1,""))</f>
        <v>45537</v>
      </c>
      <c r="L26" s="27">
        <f>IF(WEEKDAY(DATE(YEAR(J24),MONTH(J24),DAY(1)),1)=3,DATE(YEAR(J24),MONTH(J24),DAY(1)),IF(NOT(K26=""),K26+1,""))</f>
        <v>45538</v>
      </c>
      <c r="M26" s="27">
        <f>IF(WEEKDAY(DATE(YEAR(J24),MONTH(J24),DAY(1)),1)=4,DATE(YEAR(J24),MONTH(J24),DAY(1)),IF(NOT(L26=""),L26+1,""))</f>
        <v>45539</v>
      </c>
      <c r="N26" s="27">
        <f>IF(WEEKDAY(DATE(YEAR(J24),MONTH(J24),DAY(1)),1)=5,DATE(YEAR(J24),MONTH(J24),DAY(1)),IF(NOT(M26=""),M26+1,""))</f>
        <v>45540</v>
      </c>
      <c r="O26" s="27">
        <f>IF(WEEKDAY(DATE(YEAR(J24),MONTH(J24),DAY(1)),1)=6,DATE(YEAR(J24),MONTH(J24),DAY(1)),IF(NOT(N26=""),N26+1,""))</f>
        <v>45541</v>
      </c>
      <c r="P26" s="27">
        <f>IF(WEEKDAY(DATE(YEAR(J24),MONTH(J24),DAY(1)),1)=7,DATE(YEAR(J24),MONTH(J24),DAY(1)),DATE(YEAR(O26),MONTH(O26),DAY(O26+1)))</f>
        <v>45542</v>
      </c>
      <c r="Q26" s="134">
        <f>IF(ISNA(LOOKUP(S27-7,'Date by Week Number'!$C$2:$FE$2,'Date by Week Number'!$C$5:$FF$5))=TRUE,"",LOOKUP(S27-7,'Date by Week Number'!$C$2:$FE$2,'Date by Week Number'!$C$5:$FF$5))</f>
        <v>40</v>
      </c>
      <c r="R26" s="27">
        <f>IF(WEEKDAY(DATE(YEAR(R24),MONTH(R24),DAY(1)),1)=1,DATE(YEAR(R24),MONTH(R24),DAY(1)),"")</f>
      </c>
      <c r="S26" s="27">
        <f>IF(WEEKDAY(DATE(YEAR(R24),MONTH(R24),DAY(1)),1)=2,DATE(YEAR(R24),MONTH(R24),DAY(1)),IF(NOT(R26=""),R26+1,""))</f>
      </c>
      <c r="T26" s="27">
        <f>IF(WEEKDAY(DATE(YEAR(R24),MONTH(R24),DAY(1)),1)=3,DATE(YEAR(R24),MONTH(R24),DAY(1)),IF(NOT(S26=""),S26+1,""))</f>
        <v>45566</v>
      </c>
      <c r="U26" s="27">
        <f>IF(WEEKDAY(DATE(YEAR(R24),MONTH(R24),DAY(1)),1)=4,DATE(YEAR(R24),MONTH(R24),DAY(1)),IF(NOT(T26=""),T26+1,""))</f>
        <v>45567</v>
      </c>
      <c r="V26" s="27">
        <f>IF(WEEKDAY(DATE(YEAR(R24),MONTH(R24),DAY(1)),1)=5,DATE(YEAR(R24),MONTH(R24),DAY(1)),IF(NOT(U26=""),U26+1,""))</f>
        <v>45568</v>
      </c>
      <c r="W26" s="27">
        <f>IF(WEEKDAY(DATE(YEAR(R24),MONTH(R24),DAY(1)),1)=6,DATE(YEAR(R24),MONTH(R24),DAY(1)),IF(NOT(V26=""),V26+1,""))</f>
        <v>45569</v>
      </c>
      <c r="X26" s="27">
        <f>IF(WEEKDAY(DATE(YEAR(R24),MONTH(R24),DAY(1)),1)=7,DATE(YEAR(R24),MONTH(R24),DAY(1)),DATE(YEAR(W26),MONTH(W26),DAY(W26+1)))</f>
        <v>45570</v>
      </c>
    </row>
    <row r="27" spans="1:24" ht="27" customHeight="1">
      <c r="A27" s="134">
        <f>IF(ISNA(IF(C27="","",LOOKUP(C27,'Date by Week Number'!$C$2:$FE$2,'Date by Week Number'!$C$5:$FF$5)))=TRUE,"",LOOKUP(C27,'Date by Week Number'!$C$2:$FE$2,'Date by Week Number'!$C$5:$FF$5))</f>
        <v>32</v>
      </c>
      <c r="B27" s="27">
        <f>DATE(YEAR(H26),MONTH(H26),DAY(H26+1))</f>
        <v>45508</v>
      </c>
      <c r="C27" s="27">
        <f aca="true" t="shared" si="12" ref="C27:H27">DATE(YEAR(B27),MONTH(B27),DAY(B27+1))</f>
        <v>45509</v>
      </c>
      <c r="D27" s="27">
        <f t="shared" si="12"/>
        <v>45510</v>
      </c>
      <c r="E27" s="27">
        <f t="shared" si="12"/>
        <v>45511</v>
      </c>
      <c r="F27" s="27">
        <f t="shared" si="12"/>
        <v>45512</v>
      </c>
      <c r="G27" s="27">
        <f t="shared" si="12"/>
        <v>45513</v>
      </c>
      <c r="H27" s="27">
        <f t="shared" si="12"/>
        <v>45514</v>
      </c>
      <c r="I27" s="134">
        <f>IF(ISNA(IF(K27="","",LOOKUP(K27,'Date by Week Number'!$C$2:$FE$2,'Date by Week Number'!$C$5:$FF$5)))=TRUE,"",LOOKUP(K27,'Date by Week Number'!$C$2:$FE$2,'Date by Week Number'!$C$5:$FF$5))</f>
        <v>37</v>
      </c>
      <c r="J27" s="27">
        <f>DATE(YEAR(P26),MONTH(P26),DAY(P26+1))</f>
        <v>45543</v>
      </c>
      <c r="K27" s="27">
        <f aca="true" t="shared" si="13" ref="K27:P27">DATE(YEAR(J27),MONTH(J27),DAY(J27+1))</f>
        <v>45544</v>
      </c>
      <c r="L27" s="27">
        <f t="shared" si="13"/>
        <v>45545</v>
      </c>
      <c r="M27" s="27">
        <f t="shared" si="13"/>
        <v>45546</v>
      </c>
      <c r="N27" s="27">
        <f t="shared" si="13"/>
        <v>45547</v>
      </c>
      <c r="O27" s="27">
        <f t="shared" si="13"/>
        <v>45548</v>
      </c>
      <c r="P27" s="27">
        <f t="shared" si="13"/>
        <v>45549</v>
      </c>
      <c r="Q27" s="134">
        <f>IF(ISNA(IF(S27="","",LOOKUP(S27,'Date by Week Number'!$C$2:$FE$2,'Date by Week Number'!$C$5:$FF$5)))=TRUE,"",LOOKUP(S27,'Date by Week Number'!$C$2:$FE$2,'Date by Week Number'!$C$5:$FF$5))</f>
        <v>41</v>
      </c>
      <c r="R27" s="27">
        <f>DATE(YEAR(X26),MONTH(X26),DAY(X26+1))</f>
        <v>45571</v>
      </c>
      <c r="S27" s="27">
        <f aca="true" t="shared" si="14" ref="S27:X27">DATE(YEAR(R27),MONTH(R27),DAY(R27+1))</f>
        <v>45572</v>
      </c>
      <c r="T27" s="27">
        <f t="shared" si="14"/>
        <v>45573</v>
      </c>
      <c r="U27" s="27">
        <f t="shared" si="14"/>
        <v>45574</v>
      </c>
      <c r="V27" s="27">
        <f t="shared" si="14"/>
        <v>45575</v>
      </c>
      <c r="W27" s="27">
        <f t="shared" si="14"/>
        <v>45576</v>
      </c>
      <c r="X27" s="27">
        <f t="shared" si="14"/>
        <v>45577</v>
      </c>
    </row>
    <row r="28" spans="1:24" ht="27" customHeight="1">
      <c r="A28" s="134">
        <f>IF(ISNA(IF(C28="","",LOOKUP(C28,'Date by Week Number'!$C$2:$FE$2,'Date by Week Number'!$C$5:$FF$5)))=TRUE,"",LOOKUP(C28,'Date by Week Number'!$C$2:$FE$2,'Date by Week Number'!$C$5:$FF$5))</f>
        <v>33</v>
      </c>
      <c r="B28" s="27">
        <f>DATE(YEAR(H27),MONTH(H27),DAY(H27+1))</f>
        <v>45515</v>
      </c>
      <c r="C28" s="27">
        <f aca="true" t="shared" si="15" ref="C28:H28">DATE(YEAR(B28),MONTH(B28),DAY(B28+1))</f>
        <v>45516</v>
      </c>
      <c r="D28" s="27">
        <f t="shared" si="15"/>
        <v>45517</v>
      </c>
      <c r="E28" s="27">
        <f t="shared" si="15"/>
        <v>45518</v>
      </c>
      <c r="F28" s="27">
        <f t="shared" si="15"/>
        <v>45519</v>
      </c>
      <c r="G28" s="27">
        <f t="shared" si="15"/>
        <v>45520</v>
      </c>
      <c r="H28" s="27">
        <f t="shared" si="15"/>
        <v>45521</v>
      </c>
      <c r="I28" s="134">
        <f>IF(ISNA(IF(K28="","",LOOKUP(K28,'Date by Week Number'!$C$2:$FE$2,'Date by Week Number'!$C$5:$FF$5)))=TRUE,"",LOOKUP(K28,'Date by Week Number'!$C$2:$FE$2,'Date by Week Number'!$C$5:$FF$5))</f>
        <v>38</v>
      </c>
      <c r="J28" s="27">
        <f>DATE(YEAR(P27),MONTH(P27),DAY(P27+1))</f>
        <v>45550</v>
      </c>
      <c r="K28" s="27">
        <f aca="true" t="shared" si="16" ref="K28:P28">DATE(YEAR(J28),MONTH(J28),DAY(J28+1))</f>
        <v>45551</v>
      </c>
      <c r="L28" s="27">
        <f t="shared" si="16"/>
        <v>45552</v>
      </c>
      <c r="M28" s="27">
        <f t="shared" si="16"/>
        <v>45553</v>
      </c>
      <c r="N28" s="27">
        <f t="shared" si="16"/>
        <v>45554</v>
      </c>
      <c r="O28" s="27">
        <f t="shared" si="16"/>
        <v>45555</v>
      </c>
      <c r="P28" s="27">
        <f t="shared" si="16"/>
        <v>45556</v>
      </c>
      <c r="Q28" s="134">
        <f>IF(ISNA(IF(S28="","",LOOKUP(S28,'Date by Week Number'!$C$2:$FE$2,'Date by Week Number'!$C$5:$FF$5)))=TRUE,"",LOOKUP(S28,'Date by Week Number'!$C$2:$FE$2,'Date by Week Number'!$C$5:$FF$5))</f>
        <v>42</v>
      </c>
      <c r="R28" s="27">
        <f>DATE(YEAR(X27),MONTH(X27),DAY(X27+1))</f>
        <v>45578</v>
      </c>
      <c r="S28" s="27">
        <f aca="true" t="shared" si="17" ref="S28:X28">DATE(YEAR(R28),MONTH(R28),DAY(R28+1))</f>
        <v>45579</v>
      </c>
      <c r="T28" s="27">
        <f t="shared" si="17"/>
        <v>45580</v>
      </c>
      <c r="U28" s="27">
        <f t="shared" si="17"/>
        <v>45581</v>
      </c>
      <c r="V28" s="27">
        <f t="shared" si="17"/>
        <v>45582</v>
      </c>
      <c r="W28" s="27">
        <f t="shared" si="17"/>
        <v>45583</v>
      </c>
      <c r="X28" s="27">
        <f t="shared" si="17"/>
        <v>45584</v>
      </c>
    </row>
    <row r="29" spans="1:24" ht="27" customHeight="1">
      <c r="A29" s="134">
        <f>IF(ISNA(IF(C29="","",LOOKUP(C29,'Date by Week Number'!$C$2:$FE$2,'Date by Week Number'!$C$5:$FF$5)))=TRUE,"",LOOKUP(C29,'Date by Week Number'!$C$2:$FE$2,'Date by Week Number'!$C$5:$FF$5))</f>
        <v>34</v>
      </c>
      <c r="B29" s="27">
        <f>DATE(YEAR(H28),MONTH(H28),DAY(H28+1))</f>
        <v>45522</v>
      </c>
      <c r="C29" s="27">
        <f aca="true" t="shared" si="18" ref="C29:H29">DATE(YEAR(B29),MONTH(B29),DAY(B29+1))</f>
        <v>45523</v>
      </c>
      <c r="D29" s="27">
        <f t="shared" si="18"/>
        <v>45524</v>
      </c>
      <c r="E29" s="27">
        <f t="shared" si="18"/>
        <v>45525</v>
      </c>
      <c r="F29" s="27">
        <f t="shared" si="18"/>
        <v>45526</v>
      </c>
      <c r="G29" s="27">
        <f t="shared" si="18"/>
        <v>45527</v>
      </c>
      <c r="H29" s="27">
        <f t="shared" si="18"/>
        <v>45528</v>
      </c>
      <c r="I29" s="134">
        <f>IF(ISNA(IF(K29="","",LOOKUP(K29,'Date by Week Number'!$C$2:$FE$2,'Date by Week Number'!$C$5:$FF$5)))=TRUE,"",LOOKUP(K29,'Date by Week Number'!$C$2:$FE$2,'Date by Week Number'!$C$5:$FF$5))</f>
        <v>39</v>
      </c>
      <c r="J29" s="27">
        <f>DATE(YEAR(P28),MONTH(P28),DAY(P28+1))</f>
        <v>45557</v>
      </c>
      <c r="K29" s="27">
        <f aca="true" t="shared" si="19" ref="K29:P29">DATE(YEAR(J29),MONTH(J29),DAY(J29+1))</f>
        <v>45558</v>
      </c>
      <c r="L29" s="27">
        <f t="shared" si="19"/>
        <v>45559</v>
      </c>
      <c r="M29" s="27">
        <f t="shared" si="19"/>
        <v>45560</v>
      </c>
      <c r="N29" s="27">
        <f t="shared" si="19"/>
        <v>45561</v>
      </c>
      <c r="O29" s="27">
        <f t="shared" si="19"/>
        <v>45562</v>
      </c>
      <c r="P29" s="27">
        <f t="shared" si="19"/>
        <v>45563</v>
      </c>
      <c r="Q29" s="134">
        <f>IF(ISNA(IF(S29="","",LOOKUP(S29,'Date by Week Number'!$C$2:$FE$2,'Date by Week Number'!$C$5:$FF$5)))=TRUE,"",LOOKUP(S29,'Date by Week Number'!$C$2:$FE$2,'Date by Week Number'!$C$5:$FF$5))</f>
        <v>43</v>
      </c>
      <c r="R29" s="27">
        <f>DATE(YEAR(X28),MONTH(X28),DAY(X28+1))</f>
        <v>45585</v>
      </c>
      <c r="S29" s="27">
        <f aca="true" t="shared" si="20" ref="S29:X29">DATE(YEAR(R29),MONTH(R29),DAY(R29+1))</f>
        <v>45586</v>
      </c>
      <c r="T29" s="27">
        <f t="shared" si="20"/>
        <v>45587</v>
      </c>
      <c r="U29" s="27">
        <f t="shared" si="20"/>
        <v>45588</v>
      </c>
      <c r="V29" s="27">
        <f t="shared" si="20"/>
        <v>45589</v>
      </c>
      <c r="W29" s="27">
        <f t="shared" si="20"/>
        <v>45590</v>
      </c>
      <c r="X29" s="27">
        <f t="shared" si="20"/>
        <v>45591</v>
      </c>
    </row>
    <row r="30" spans="1:24" ht="27" customHeight="1">
      <c r="A30" s="134">
        <f>IF(ISNA(IF(C30="","",LOOKUP(C30,'Date by Week Number'!$C$2:$FE$2,'Date by Week Number'!$C$5:$FF$5)))=TRUE,"",LOOKUP(C30,'Date by Week Number'!$C$2:$FE$2,'Date by Week Number'!$C$5:$FF$5))</f>
        <v>35</v>
      </c>
      <c r="B30" s="27">
        <f>IF(DAY(H26+22)=1,"",DATE(YEAR(H26),MONTH(H26),DAY(H26+22)))</f>
        <v>45529</v>
      </c>
      <c r="C30" s="27">
        <f>IF(OR(DAY(H26+23)=1,B30=""),"",IF(OR(NOT(MONTH(F23)=2),AND(MONTH(F23)=2,OR(MOD(YEAR(F23),400)=0,AND(MOD(YEAR(F23),4)=0,MOD(YEAR(F23),100)&lt;&gt;0)))),DATE(YEAR(B30),MONTH(B30),DAY(B30+1)),IF(AND(MONTH(F23)=2,OR(C26="",D26="")),DATE(YEAR(B30),MONTH(B30),DAY(B30+1)),"")))</f>
        <v>45530</v>
      </c>
      <c r="D30" s="27">
        <f>IF(OR(DAY(H26+23)=1,DAY(H26+24)=1,C30=""),"",IF(OR(NOT(MONTH(F23)=2),AND(MONTH(F23)=2,OR(MOD(YEAR(F23),400)=0,AND(MOD(YEAR(F23),4)=0,MOD(YEAR(F23),100)&lt;&gt;0)))),DATE(YEAR(C30),MONTH(C30),DAY(C30+1)),IF(AND(MONTH(F23)=2,OR(C26="",D26="")),DATE(YEAR(C30),MONTH(C30),DAY(C30+1)),"")))</f>
        <v>45531</v>
      </c>
      <c r="E30" s="27">
        <f>IF(OR(DAY(H26+23)=1,DAY(H26+24)=1,DAY(H26+25)=1,D30=""),"",IF(OR(NOT(MONTH(F23)=2),AND(MONTH(F23)=2,OR(MOD(YEAR(F23),400)=0,AND(MOD(YEAR(F23),4)=0,MOD(YEAR(F23),100)&lt;&gt;0)))),DATE(YEAR(D30),MONTH(D30),DAY(D30+1)),IF(AND(MONTH(F23)=2,OR(C26="",D26="")),DATE(YEAR(D30),MONTH(D30),DAY(D30+1)),"")))</f>
        <v>45532</v>
      </c>
      <c r="F30" s="27">
        <f>IF(OR(DAY(H26+23)=1,DAY(H26+24)=1,DAY(H26+25)=1,DAY(H26+26)=1,E30=""),"",IF(OR(NOT(MONTH(F23)=2),AND(MONTH(F23)=2,OR(MOD(YEAR(F23),400)=0,AND(MOD(YEAR(F23),4)=0,MOD(YEAR(F23),100)&lt;&gt;0)))),DATE(YEAR(E30),MONTH(E30),DAY(E30+1)),IF(AND(MONTH(F23)=2,OR(C26="",D26="")),DATE(YEAR(E30),MONTH(E30),DAY(E30+1)),"")))</f>
        <v>45533</v>
      </c>
      <c r="G30" s="27">
        <f>IF(OR(DAY(H26+23)=1,DAY(H26+24)=1,DAY(H26+25)=1,DAY(H26+26)=1,DAY(H26+27)=1,F30=""),"",IF(OR(NOT(MONTH(F23)=2),AND(MONTH(F23)=2,OR(MOD(YEAR(F23),400)=0,AND(MOD(YEAR(F23),4)=0,MOD(YEAR(F23),100)&lt;&gt;0)))),DATE(YEAR(F30),MONTH(F30),DAY(F30+1)),IF(AND(MONTH(F23)=2,OR(C26="",D26="")),DATE(YEAR(F30),MONTH(F30),DAY(F30+1)),"")))</f>
        <v>45534</v>
      </c>
      <c r="H30" s="27">
        <f>IF(OR(DAY(H26+23)=1,DAY(H26+24)=1,DAY(H26+25)=1,DAY(H26+26)=1,DAY(H26+27)=1,DAY(H26+28)=1,G30=""),"",IF(OR(NOT(MONTH(F23)=2),AND(MONTH(F23)=2,OR(MOD(YEAR(F23),400)=0,AND(MOD(YEAR(F23),4)=0,MOD(YEAR(F23),100)&lt;&gt;0)))),DATE(YEAR(G30),MONTH(G30),DAY(G30+1)),IF(AND(MONTH(F23)=2,OR(C26="",D26="")),DATE(YEAR(G30),MONTH(G30),DAY(G30+1)),"")))</f>
        <v>45535</v>
      </c>
      <c r="I30" s="134">
        <f>IF(ISNA(IF(K30="","",LOOKUP(K30,'Date by Week Number'!$C$2:$FE$2,'Date by Week Number'!$C$5:$FF$5)))=TRUE,"",LOOKUP(K30,'Date by Week Number'!$C$2:$FE$2,'Date by Week Number'!$C$5:$FF$5))</f>
        <v>40</v>
      </c>
      <c r="J30" s="27">
        <f>IF(DAY(P26+22)=1,"",DATE(YEAR(P26),MONTH(P26),DAY(P26+22)))</f>
        <v>45564</v>
      </c>
      <c r="K30" s="27">
        <f>IF(OR(DAY(P26+23)=1,J30=""),"",IF(OR(NOT(MONTH(N23)=2),AND(MONTH(N23)=2,OR(MOD(YEAR(N23),400)=0,AND(MOD(YEAR(N23),4)=0,MOD(YEAR(N23),100)&lt;&gt;0)))),DATE(YEAR(J30),MONTH(J30),DAY(J30+1)),IF(AND(MONTH(N23)=2,OR(K26="",L26="")),DATE(YEAR(J30),MONTH(J30),DAY(J30+1)),"")))</f>
        <v>45565</v>
      </c>
      <c r="L30" s="27">
        <f>IF(OR(DAY(P26+23)=1,DAY(P26+24)=1,K30=""),"",IF(OR(NOT(MONTH(N23)=2),AND(MONTH(N23)=2,OR(MOD(YEAR(N23),400)=0,AND(MOD(YEAR(N23),4)=0,MOD(YEAR(N23),100)&lt;&gt;0)))),DATE(YEAR(K30),MONTH(K30),DAY(K30+1)),IF(AND(MONTH(N23)=2,OR(K26="",L26="")),DATE(YEAR(K30),MONTH(K30),DAY(K30+1)),"")))</f>
      </c>
      <c r="M30" s="27">
        <f>IF(OR(DAY(P26+23)=1,DAY(P26+24)=1,DAY(P26+25)=1,L30=""),"",IF(OR(NOT(MONTH(N23)=2),AND(MONTH(N23)=2,OR(MOD(YEAR(N23),400)=0,AND(MOD(YEAR(N23),4)=0,MOD(YEAR(N23),100)&lt;&gt;0)))),DATE(YEAR(L30),MONTH(L30),DAY(L30+1)),IF(AND(MONTH(N23)=2,OR(K26="",L26="")),DATE(YEAR(L30),MONTH(L30),DAY(L30+1)),"")))</f>
      </c>
      <c r="N30" s="27">
        <f>IF(OR(DAY(P26+23)=1,DAY(P26+24)=1,DAY(P26+25)=1,DAY(P26+26)=1,M30=""),"",IF(OR(NOT(MONTH(N23)=2),AND(MONTH(N23)=2,OR(MOD(YEAR(N23),400)=0,AND(MOD(YEAR(N23),4)=0,MOD(YEAR(N23),100)&lt;&gt;0)))),DATE(YEAR(M30),MONTH(M30),DAY(M30+1)),IF(AND(MONTH(N23)=2,OR(K26="",L26="")),DATE(YEAR(M30),MONTH(M30),DAY(M30+1)),"")))</f>
      </c>
      <c r="O30" s="27">
        <f>IF(OR(DAY(P26+23)=1,DAY(P26+24)=1,DAY(P26+25)=1,DAY(P26+26)=1,DAY(P26+27)=1,N30=""),"",IF(OR(NOT(MONTH(N23)=2),AND(MONTH(N23)=2,OR(MOD(YEAR(N23),400)=0,AND(MOD(YEAR(N23),4)=0,MOD(YEAR(N23),100)&lt;&gt;0)))),DATE(YEAR(N30),MONTH(N30),DAY(N30+1)),IF(AND(MONTH(N23)=2,OR(K26="",L26="")),DATE(YEAR(N30),MONTH(N30),DAY(N30+1)),"")))</f>
      </c>
      <c r="P30" s="27">
        <f>IF(OR(DAY(P26+23)=1,DAY(P26+24)=1,DAY(P26+25)=1,DAY(P26+26)=1,DAY(P26+27)=1,DAY(P26+28)=1,O30=""),"",IF(OR(NOT(MONTH(N23)=2),AND(MONTH(N23)=2,OR(MOD(YEAR(N23),400)=0,AND(MOD(YEAR(N23),4)=0,MOD(YEAR(N23),100)&lt;&gt;0)))),DATE(YEAR(O30),MONTH(O30),DAY(O30+1)),IF(AND(MONTH(N23)=2,OR(K26="",L26="")),DATE(YEAR(O30),MONTH(O30),DAY(O30+1)),"")))</f>
      </c>
      <c r="Q30" s="134">
        <f>IF(ISNA(IF(S30="","",LOOKUP(S30,'Date by Week Number'!$C$2:$FE$2,'Date by Week Number'!$C$5:$FF$5)))=TRUE,"",LOOKUP(S30,'Date by Week Number'!$C$2:$FE$2,'Date by Week Number'!$C$5:$FF$5))</f>
        <v>44</v>
      </c>
      <c r="R30" s="27">
        <f>IF(DAY(X26+22)=1,"",DATE(YEAR(X26),MONTH(X26),DAY(X26+22)))</f>
        <v>45592</v>
      </c>
      <c r="S30" s="27">
        <f>IF(OR(DAY(X26+23)=1,R30=""),"",IF(OR(NOT(MONTH(V23)=2),AND(MONTH(V23)=2,OR(MOD(YEAR(V23),400)=0,AND(MOD(YEAR(V23),4)=0,MOD(YEAR(V23),100)&lt;&gt;0)))),DATE(YEAR(R30),MONTH(R30),DAY(R30+1)),IF(AND(MONTH(V23)=2,OR(S26="",T26="")),DATE(YEAR(R30),MONTH(R30),DAY(R30+1)),"")))</f>
        <v>45593</v>
      </c>
      <c r="T30" s="27">
        <f>IF(OR(DAY(X26+23)=1,DAY(X26+24)=1,S30=""),"",IF(OR(NOT(MONTH(V23)=2),AND(MONTH(V23)=2,OR(MOD(YEAR(V23),400)=0,AND(MOD(YEAR(V23),4)=0,MOD(YEAR(V23),100)&lt;&gt;0)))),DATE(YEAR(S30),MONTH(S30),DAY(S30+1)),IF(AND(MONTH(V23)=2,OR(S26="",T26="")),DATE(YEAR(S30),MONTH(S30),DAY(S30+1)),"")))</f>
        <v>45594</v>
      </c>
      <c r="U30" s="27">
        <f>IF(OR(DAY(X26+23)=1,DAY(X26+24)=1,DAY(X26+25)=1,T30=""),"",IF(OR(NOT(MONTH(V23)=2),AND(MONTH(V23)=2,OR(MOD(YEAR(V23),400)=0,AND(MOD(YEAR(V23),4)=0,MOD(YEAR(V23),100)&lt;&gt;0)))),DATE(YEAR(T30),MONTH(T30),DAY(T30+1)),IF(AND(MONTH(V23)=2,OR(S26="",T26="")),DATE(YEAR(T30),MONTH(T30),DAY(T30+1)),"")))</f>
        <v>45595</v>
      </c>
      <c r="V30" s="27">
        <f>IF(OR(DAY(X26+23)=1,DAY(X26+24)=1,DAY(X26+25)=1,DAY(X26+26)=1,U30=""),"",IF(OR(NOT(MONTH(V23)=2),AND(MONTH(V23)=2,OR(MOD(YEAR(V23),400)=0,AND(MOD(YEAR(V23),4)=0,MOD(YEAR(V23),100)&lt;&gt;0)))),DATE(YEAR(U30),MONTH(U30),DAY(U30+1)),IF(AND(MONTH(V23)=2,OR(S26="",T26="")),DATE(YEAR(U30),MONTH(U30),DAY(U30+1)),"")))</f>
        <v>45596</v>
      </c>
      <c r="W30" s="27">
        <f>IF(OR(DAY(X26+23)=1,DAY(X26+24)=1,DAY(X26+25)=1,DAY(X26+26)=1,DAY(X26+27)=1,V30=""),"",IF(OR(NOT(MONTH(V23)=2),AND(MONTH(V23)=2,OR(MOD(YEAR(V23),400)=0,AND(MOD(YEAR(V23),4)=0,MOD(YEAR(V23),100)&lt;&gt;0)))),DATE(YEAR(V30),MONTH(V30),DAY(V30+1)),IF(AND(MONTH(V23)=2,OR(S26="",T26="")),DATE(YEAR(V30),MONTH(V30),DAY(V30+1)),"")))</f>
      </c>
      <c r="X30" s="27">
        <f>IF(OR(DAY(X26+23)=1,DAY(X26+24)=1,DAY(X26+25)=1,DAY(X26+26)=1,DAY(X26+27)=1,DAY(X26+28)=1,W30=""),"",IF(OR(NOT(MONTH(V23)=2),AND(MONTH(V23)=2,OR(MOD(YEAR(V23),400)=0,AND(MOD(YEAR(V23),4)=0,MOD(YEAR(V23),100)&lt;&gt;0)))),DATE(YEAR(W30),MONTH(W30),DAY(W30+1)),IF(AND(MONTH(V23)=2,OR(S26="",T26="")),DATE(YEAR(W30),MONTH(W30),DAY(W30+1)),"")))</f>
      </c>
    </row>
    <row r="31" spans="1:24" ht="27" customHeight="1">
      <c r="A31" s="134">
        <f>IF(C31="","",IF(ISNA(IF(C31="","",LOOKUP(C31,'Date by Week Number'!$C$2:$FE$2,'Date by Week Number'!$C$5:$FF$5)))=TRUE,"",LOOKUP(C31,'Date by Week Number'!$C$2:$FE$2,'Date by Week Number'!$C$5:$FF$5)))</f>
      </c>
      <c r="B31" s="27">
        <f>IF(OR(DAY(H26+24)=1,DAY(H26+25)=1,DAY(H26+26)=1,DAY(H26+27)=1,DAY(H26+28)=1,DAY(H26+29)=1),"",IF(MONTH(H26)=2,"",DATE(YEAR(H30),MONTH(H30),DAY(H30+1))))</f>
      </c>
      <c r="C31" s="27">
        <f>IF(OR(DAY(H26+24)=1,DAY(H26+25)=1,DAY(H26+26)=1,DAY(H26+27)=1,DAY(H26+28)=1,DAY(H26+29)=1,DAY(H26+30)=1),"",IF(OR(MONTH(H26)=2,MONTH(F23)=4,MONTH(F23)=6,MONTH(F23)=9,MONTH(F23)=11),"",DATE(YEAR(B31),MONTH(B31),DAY(B31+1))))</f>
      </c>
      <c r="D31" s="89"/>
      <c r="E31" s="89"/>
      <c r="F31" s="89"/>
      <c r="G31" s="89"/>
      <c r="H31" s="89"/>
      <c r="I31" s="134">
        <f>IF(K31="","",IF(ISNA(IF(K31="","",LOOKUP(K31,'Date by Week Number'!$C$2:$FE$2,'Date by Week Number'!$C$5:$FF$5)))=TRUE,"",LOOKUP(K31,'Date by Week Number'!$C$2:$FE$2,'Date by Week Number'!$C$5:$FF$5)))</f>
      </c>
      <c r="J31" s="27">
        <f>IF(OR(DAY(P26+24)=1,DAY(P26+25)=1,DAY(P26+26)=1,DAY(P26+27)=1,DAY(P26+28)=1,DAY(P26+29)=1),"",IF(MONTH(P26)=2,"",DATE(YEAR(P30),MONTH(P30),DAY(P30+1))))</f>
      </c>
      <c r="K31" s="27">
        <f>IF(OR(DAY(P26+24)=1,DAY(P26+25)=1,DAY(P26+26)=1,DAY(P26+27)=1,DAY(P26+28)=1,DAY(P26+29)=1,DAY(P26+30)=1),"",IF(OR(MONTH(P26)=2,MONTH(N23)=4,MONTH(N23)=6,MONTH(N23)=9,MONTH(N23)=11),"",DATE(YEAR(J31),MONTH(J31),DAY(J31+1))))</f>
      </c>
      <c r="L31" s="89"/>
      <c r="M31" s="89"/>
      <c r="N31" s="89"/>
      <c r="O31" s="89"/>
      <c r="P31" s="89"/>
      <c r="Q31" s="134">
        <f>IF(S31="","",IF(ISNA(IF(S31="","",LOOKUP(S31,'Date by Week Number'!$C$2:$FE$2,'Date by Week Number'!$C$5:$FF$5)))=TRUE,"",LOOKUP(S31,'Date by Week Number'!$C$2:$FE$2,'Date by Week Number'!$C$5:$FF$5)))</f>
      </c>
      <c r="R31" s="27">
        <f>IF(OR(DAY(X26+24)=1,DAY(X26+25)=1,DAY(X26+26)=1,DAY(X26+27)=1,DAY(X26+28)=1,DAY(X26+29)=1),"",IF(MONTH(X26)=2,"",DATE(YEAR(X30),MONTH(X30),DAY(X30+1))))</f>
      </c>
      <c r="S31" s="27">
        <f>IF(OR(DAY(X26+24)=1,DAY(X26+25)=1,DAY(X26+26)=1,DAY(X26+27)=1,DAY(X26+28)=1,DAY(X26+29)=1,DAY(X26+30)=1),"",IF(OR(MONTH(X26)=2,MONTH(V23)=4,MONTH(V23)=6,MONTH(V23)=9,MONTH(V23)=11),"",DATE(YEAR(R31),MONTH(R31),DAY(R31+1))))</f>
      </c>
      <c r="T31" s="89"/>
      <c r="U31" s="89"/>
      <c r="V31" s="89"/>
      <c r="W31" s="89"/>
      <c r="X31" s="89"/>
    </row>
    <row r="32" ht="9" customHeight="1"/>
    <row r="33" spans="2:27" ht="20.25" customHeight="1" thickBot="1">
      <c r="B33" s="136">
        <f>IF(MONTH(R24)=12,TEXT(DATE(YEAR(R24)+1,1,1),"yyyy年m月"),DATE(YEAR(R24),MONTH(R24)+1,1))</f>
        <v>45597</v>
      </c>
      <c r="C33" s="136"/>
      <c r="D33" s="136"/>
      <c r="E33" s="136"/>
      <c r="F33" s="136"/>
      <c r="G33" s="136"/>
      <c r="H33" s="136"/>
      <c r="I33" s="252">
        <f>DATE(YEAR(Y24),MONTH(Y24)+1,1)</f>
        <v>45597</v>
      </c>
      <c r="J33" s="136">
        <f>IF(MONTH(B33)=12,TEXT(DATE(YEAR(B33)+1,1,1),"yyyy年m月"),DATE(YEAR(B33),MONTH(B33)+1,1))</f>
        <v>45627</v>
      </c>
      <c r="K33" s="136"/>
      <c r="L33" s="136"/>
      <c r="M33" s="136"/>
      <c r="N33" s="136"/>
      <c r="O33" s="136"/>
      <c r="P33" s="136"/>
      <c r="Q33" s="252">
        <f>DATE(YEAR(I33),MONTH(I33)+1,1)</f>
        <v>45627</v>
      </c>
      <c r="R33" s="140" t="str">
        <f>IF(MONTH(J33)=12,TEXT(DATE(YEAR(J33)+1,1,1),"yyyy年m月"),DATE(YEAR(J33),MONTH(J33)+1,1))</f>
        <v>2025年1月</v>
      </c>
      <c r="S33" s="140"/>
      <c r="T33" s="140"/>
      <c r="U33" s="140"/>
      <c r="V33" s="140"/>
      <c r="W33" s="140"/>
      <c r="X33" s="140"/>
      <c r="Y33" s="7">
        <f>DATE(YEAR(Q33),MONTH(Q33)+1,1)</f>
        <v>45658</v>
      </c>
      <c r="Z33" s="250" t="str">
        <f>IF(MONTH(J33)=12,TEXT(DATE(YEAR(J33)+1,1,1),"yyyy年m月"),DATE(YEAR(J33),MONTH(J33)+1,1))</f>
        <v>2025年1月</v>
      </c>
      <c r="AA33" s="251">
        <f>IF(MONTH(J33)=12,DATE(YEAR(J33),MONTH(J33)+1,1),TEXT(DATE(YEAR(J33)+1,1,1),"yyyy年m月"))</f>
        <v>45658</v>
      </c>
    </row>
    <row r="34" spans="2:24" ht="20.25" customHeight="1">
      <c r="B34" s="25" t="s">
        <v>26</v>
      </c>
      <c r="C34" s="26" t="s">
        <v>28</v>
      </c>
      <c r="D34" s="26" t="s">
        <v>30</v>
      </c>
      <c r="E34" s="26" t="s">
        <v>32</v>
      </c>
      <c r="F34" s="26" t="s">
        <v>34</v>
      </c>
      <c r="G34" s="26" t="s">
        <v>36</v>
      </c>
      <c r="H34" s="25" t="s">
        <v>38</v>
      </c>
      <c r="I34" s="3"/>
      <c r="J34" s="25" t="s">
        <v>26</v>
      </c>
      <c r="K34" s="26" t="s">
        <v>28</v>
      </c>
      <c r="L34" s="26" t="s">
        <v>30</v>
      </c>
      <c r="M34" s="26" t="s">
        <v>32</v>
      </c>
      <c r="N34" s="26" t="s">
        <v>34</v>
      </c>
      <c r="O34" s="26" t="s">
        <v>36</v>
      </c>
      <c r="P34" s="25" t="s">
        <v>38</v>
      </c>
      <c r="Q34" s="3"/>
      <c r="R34" s="25" t="s">
        <v>26</v>
      </c>
      <c r="S34" s="26" t="s">
        <v>28</v>
      </c>
      <c r="T34" s="26" t="s">
        <v>30</v>
      </c>
      <c r="U34" s="26" t="s">
        <v>32</v>
      </c>
      <c r="V34" s="26" t="s">
        <v>34</v>
      </c>
      <c r="W34" s="26" t="s">
        <v>36</v>
      </c>
      <c r="X34" s="25" t="s">
        <v>38</v>
      </c>
    </row>
    <row r="35" spans="1:24" ht="27" customHeight="1">
      <c r="A35" s="134">
        <f>IF(ISNA(LOOKUP(C36-7,'Date by Week Number'!$C$2:$FE$2,'Date by Week Number'!$C$5:$FF$5))=TRUE,"",LOOKUP(C36-7,'Date by Week Number'!$C$2:$FE$2,'Date by Week Number'!$C$5:$FF$5))</f>
        <v>44</v>
      </c>
      <c r="B35" s="27">
        <f>IF(WEEKDAY(DATE(YEAR(B33),MONTH(B33),DAY(1)),1)=1,DATE(YEAR(B33),MONTH(B33),DAY(1)),"")</f>
      </c>
      <c r="C35" s="27">
        <f>IF(WEEKDAY(DATE(YEAR(B33),MONTH(B33),DAY(1)),1)=2,DATE(YEAR(B33),MONTH(B33),DAY(1)),IF(NOT(B35=""),B35+1,""))</f>
      </c>
      <c r="D35" s="27">
        <f>IF(WEEKDAY(DATE(YEAR(B33),MONTH(B33),DAY(1)),1)=3,DATE(YEAR(B33),MONTH(B33),DAY(1)),IF(NOT(C35=""),C35+1,""))</f>
      </c>
      <c r="E35" s="27">
        <f>IF(WEEKDAY(DATE(YEAR(B33),MONTH(B33),DAY(1)),1)=4,DATE(YEAR(B33),MONTH(B33),DAY(1)),IF(NOT(D35=""),D35+1,""))</f>
      </c>
      <c r="F35" s="27">
        <f>IF(WEEKDAY(DATE(YEAR(B33),MONTH(B33),DAY(1)),1)=5,DATE(YEAR(B33),MONTH(B33),DAY(1)),IF(NOT(E35=""),E35+1,""))</f>
      </c>
      <c r="G35" s="27">
        <f>IF(WEEKDAY(DATE(YEAR(B33),MONTH(B33),DAY(1)),1)=6,DATE(YEAR(B33),MONTH(B33),DAY(1)),IF(NOT(F35=""),F35+1,""))</f>
        <v>45597</v>
      </c>
      <c r="H35" s="27">
        <f>IF(WEEKDAY(DATE(YEAR(B33),MONTH(B33),DAY(1)),1)=7,DATE(YEAR(B33),MONTH(B33),DAY(1)),DATE(YEAR(G35),MONTH(G35),DAY(G35+1)))</f>
        <v>45598</v>
      </c>
      <c r="I35" s="134">
        <f>IF(ISNA(LOOKUP(K36-7,'Date by Week Number'!$C$2:$FE$2,'Date by Week Number'!$C$5:$FF$5))=TRUE,"",LOOKUP(K36-7,'Date by Week Number'!$C$2:$FE$2,'Date by Week Number'!$C$5:$FF$5))</f>
        <v>49</v>
      </c>
      <c r="J35" s="27">
        <f>IF(WEEKDAY(DATE(YEAR(J33),MONTH(J33),DAY(1)),1)=1,DATE(YEAR(J33),MONTH(J33),DAY(1)),"")</f>
        <v>45627</v>
      </c>
      <c r="K35" s="27">
        <f>IF(WEEKDAY(DATE(YEAR(J33),MONTH(J33),DAY(1)),1)=2,DATE(YEAR(J33),MONTH(J33),DAY(1)),IF(NOT(J35=""),J35+1,""))</f>
        <v>45628</v>
      </c>
      <c r="L35" s="27">
        <f>IF(WEEKDAY(DATE(YEAR(J33),MONTH(J33),DAY(1)),1)=3,DATE(YEAR(J33),MONTH(J33),DAY(1)),IF(NOT(K35=""),K35+1,""))</f>
        <v>45629</v>
      </c>
      <c r="M35" s="27">
        <f>IF(WEEKDAY(DATE(YEAR(J33),MONTH(J33),DAY(1)),1)=4,DATE(YEAR(J33),MONTH(J33),DAY(1)),IF(NOT(L35=""),L35+1,""))</f>
        <v>45630</v>
      </c>
      <c r="N35" s="27">
        <f>IF(WEEKDAY(DATE(YEAR(J33),MONTH(J33),DAY(1)),1)=5,DATE(YEAR(J33),MONTH(J33),DAY(1)),IF(NOT(M35=""),M35+1,""))</f>
        <v>45631</v>
      </c>
      <c r="O35" s="27">
        <f>IF(WEEKDAY(DATE(YEAR(J33),MONTH(J33),DAY(1)),1)=6,DATE(YEAR(J33),MONTH(J33),DAY(1)),IF(NOT(N35=""),N35+1,""))</f>
        <v>45632</v>
      </c>
      <c r="P35" s="27">
        <f>IF(WEEKDAY(DATE(YEAR(J33),MONTH(J33),DAY(1)),1)=7,DATE(YEAR(J33),MONTH(J33),DAY(1)),DATE(YEAR(O35),MONTH(O35),DAY(O35+1)))</f>
        <v>45633</v>
      </c>
      <c r="Q35" s="134">
        <f>IF(ISNA(LOOKUP(S36-7,'Date by Week Number'!$C$2:$FE$2,'Date by Week Number'!$C$5:$FF$5))=TRUE,"",LOOKUP(S36-7,'Date by Week Number'!$C$2:$FE$2,'Date by Week Number'!$C$5:$FF$5))</f>
        <v>53</v>
      </c>
      <c r="R35" s="27">
        <f>IF(WEEKDAY(DATE(YEAR(Y33),MONTH(Y33),DAY(1)),1)=1,DATE(YEAR(Y33),MONTH(Y33),DAY(1)),"")</f>
      </c>
      <c r="S35" s="27">
        <f>IF(WEEKDAY(DATE(YEAR(Y33),MONTH(Y33),DAY(1)),1)=2,DATE(YEAR(Y33),MONTH(Y33),DAY(1)),IF(NOT(R35=""),R35+1,""))</f>
      </c>
      <c r="T35" s="27">
        <f>IF(WEEKDAY(DATE(YEAR(Y33),MONTH(Y33),DAY(1)),1)=3,DATE(YEAR(Y33),MONTH(Y33),DAY(1)),IF(NOT(S35=""),S35+1,""))</f>
      </c>
      <c r="U35" s="27">
        <f>IF(WEEKDAY(DATE(YEAR(Y33),MONTH(Y33),DAY(1)),1)=4,DATE(YEAR(Y33),MONTH(Y33),DAY(1)),IF(NOT(T35=""),T35+1,""))</f>
        <v>45658</v>
      </c>
      <c r="V35" s="27">
        <f>IF(WEEKDAY(DATE(YEAR(Y33),MONTH(Y33),DAY(1)),1)=5,DATE(YEAR(Y33),MONTH(Y33),DAY(1)),IF(NOT(U35=""),U35+1,""))</f>
        <v>45659</v>
      </c>
      <c r="W35" s="27">
        <f>IF(WEEKDAY(DATE(YEAR(Y33),MONTH(Y33),DAY(1)),1)=6,DATE(YEAR(Y33),MONTH(Y33),DAY(1)),IF(NOT(V35=""),V35+1,""))</f>
        <v>45660</v>
      </c>
      <c r="X35" s="27">
        <f>IF(WEEKDAY(DATE(YEAR(Y33),MONTH(Y33),DAY(1)),1)=7,DATE(YEAR(Y33),MONTH(Y33),DAY(1)),DATE(YEAR(W35),MONTH(W35),DAY(W35+1)))</f>
        <v>45661</v>
      </c>
    </row>
    <row r="36" spans="1:24" ht="27" customHeight="1">
      <c r="A36" s="134">
        <f>IF(ISNA(IF(C36="","",LOOKUP(C36,'Date by Week Number'!$C$2:$FE$2,'Date by Week Number'!$C$5:$FF$5)))=TRUE,"",LOOKUP(C36,'Date by Week Number'!$C$2:$FE$2,'Date by Week Number'!$C$5:$FF$5))</f>
        <v>45</v>
      </c>
      <c r="B36" s="27">
        <f>DATE(YEAR(H35),MONTH(H35),DAY(H35+1))</f>
        <v>45599</v>
      </c>
      <c r="C36" s="27">
        <f aca="true" t="shared" si="21" ref="C36:H36">DATE(YEAR(B36),MONTH(B36),DAY(B36+1))</f>
        <v>45600</v>
      </c>
      <c r="D36" s="27">
        <f t="shared" si="21"/>
        <v>45601</v>
      </c>
      <c r="E36" s="27">
        <f t="shared" si="21"/>
        <v>45602</v>
      </c>
      <c r="F36" s="27">
        <f t="shared" si="21"/>
        <v>45603</v>
      </c>
      <c r="G36" s="27">
        <f t="shared" si="21"/>
        <v>45604</v>
      </c>
      <c r="H36" s="27">
        <f t="shared" si="21"/>
        <v>45605</v>
      </c>
      <c r="I36" s="134">
        <f>IF(ISNA(IF(K36="","",LOOKUP(K36,'Date by Week Number'!$C$2:$FE$2,'Date by Week Number'!$C$5:$FF$5)))=TRUE,"",LOOKUP(K36,'Date by Week Number'!$C$2:$FE$2,'Date by Week Number'!$C$5:$FF$5))</f>
        <v>50</v>
      </c>
      <c r="J36" s="27">
        <f>DATE(YEAR(P35),MONTH(P35),DAY(P35+1))</f>
        <v>45634</v>
      </c>
      <c r="K36" s="27">
        <f aca="true" t="shared" si="22" ref="K36:P36">DATE(YEAR(J36),MONTH(J36),DAY(J36+1))</f>
        <v>45635</v>
      </c>
      <c r="L36" s="27">
        <f t="shared" si="22"/>
        <v>45636</v>
      </c>
      <c r="M36" s="27">
        <f t="shared" si="22"/>
        <v>45637</v>
      </c>
      <c r="N36" s="27">
        <f t="shared" si="22"/>
        <v>45638</v>
      </c>
      <c r="O36" s="27">
        <f t="shared" si="22"/>
        <v>45639</v>
      </c>
      <c r="P36" s="27">
        <f t="shared" si="22"/>
        <v>45640</v>
      </c>
      <c r="Q36" s="134">
        <f>IF(ISNA(IF(S36="","",LOOKUP(S36,'Date by Week Number'!$C$2:$FE$2,'Date by Week Number'!$C$5:$FF$5)))=TRUE,"",LOOKUP(S36,'Date by Week Number'!$C$2:$FE$2,'Date by Week Number'!$C$5:$FF$5))</f>
        <v>1</v>
      </c>
      <c r="R36" s="27">
        <f>DATE(YEAR(X35),MONTH(X35),DAY(X35+1))</f>
        <v>45662</v>
      </c>
      <c r="S36" s="27">
        <f aca="true" t="shared" si="23" ref="S36:X36">DATE(YEAR(R36),MONTH(R36),DAY(R36+1))</f>
        <v>45663</v>
      </c>
      <c r="T36" s="27">
        <f t="shared" si="23"/>
        <v>45664</v>
      </c>
      <c r="U36" s="27">
        <f t="shared" si="23"/>
        <v>45665</v>
      </c>
      <c r="V36" s="27">
        <f t="shared" si="23"/>
        <v>45666</v>
      </c>
      <c r="W36" s="27">
        <f t="shared" si="23"/>
        <v>45667</v>
      </c>
      <c r="X36" s="27">
        <f t="shared" si="23"/>
        <v>45668</v>
      </c>
    </row>
    <row r="37" spans="1:24" ht="27" customHeight="1">
      <c r="A37" s="134">
        <f>IF(ISNA(IF(C37="","",LOOKUP(C37,'Date by Week Number'!$C$2:$FE$2,'Date by Week Number'!$C$5:$FF$5)))=TRUE,"",LOOKUP(C37,'Date by Week Number'!$C$2:$FE$2,'Date by Week Number'!$C$5:$FF$5))</f>
        <v>46</v>
      </c>
      <c r="B37" s="27">
        <f>DATE(YEAR(H36),MONTH(H36),DAY(H36+1))</f>
        <v>45606</v>
      </c>
      <c r="C37" s="27">
        <f aca="true" t="shared" si="24" ref="C37:H37">DATE(YEAR(B37),MONTH(B37),DAY(B37+1))</f>
        <v>45607</v>
      </c>
      <c r="D37" s="27">
        <f t="shared" si="24"/>
        <v>45608</v>
      </c>
      <c r="E37" s="27">
        <f t="shared" si="24"/>
        <v>45609</v>
      </c>
      <c r="F37" s="27">
        <f t="shared" si="24"/>
        <v>45610</v>
      </c>
      <c r="G37" s="27">
        <f t="shared" si="24"/>
        <v>45611</v>
      </c>
      <c r="H37" s="27">
        <f t="shared" si="24"/>
        <v>45612</v>
      </c>
      <c r="I37" s="134">
        <f>IF(ISNA(IF(K37="","",LOOKUP(K37,'Date by Week Number'!$C$2:$FE$2,'Date by Week Number'!$C$5:$FF$5)))=TRUE,"",LOOKUP(K37,'Date by Week Number'!$C$2:$FE$2,'Date by Week Number'!$C$5:$FF$5))</f>
        <v>51</v>
      </c>
      <c r="J37" s="27">
        <f>DATE(YEAR(P36),MONTH(P36),DAY(P36+1))</f>
        <v>45641</v>
      </c>
      <c r="K37" s="27">
        <f aca="true" t="shared" si="25" ref="K37:P37">DATE(YEAR(J37),MONTH(J37),DAY(J37+1))</f>
        <v>45642</v>
      </c>
      <c r="L37" s="27">
        <f t="shared" si="25"/>
        <v>45643</v>
      </c>
      <c r="M37" s="27">
        <f t="shared" si="25"/>
        <v>45644</v>
      </c>
      <c r="N37" s="27">
        <f t="shared" si="25"/>
        <v>45645</v>
      </c>
      <c r="O37" s="27">
        <f t="shared" si="25"/>
        <v>45646</v>
      </c>
      <c r="P37" s="27">
        <f t="shared" si="25"/>
        <v>45647</v>
      </c>
      <c r="Q37" s="134">
        <f>IF(ISNA(IF(S37="","",LOOKUP(S37,'Date by Week Number'!$C$2:$FE$2,'Date by Week Number'!$C$5:$FF$5)))=TRUE,"",LOOKUP(S37,'Date by Week Number'!$C$2:$FE$2,'Date by Week Number'!$C$5:$FF$5))</f>
        <v>2</v>
      </c>
      <c r="R37" s="27">
        <f>DATE(YEAR(X36),MONTH(X36),DAY(X36+1))</f>
        <v>45669</v>
      </c>
      <c r="S37" s="27">
        <f aca="true" t="shared" si="26" ref="S37:X37">DATE(YEAR(R37),MONTH(R37),DAY(R37+1))</f>
        <v>45670</v>
      </c>
      <c r="T37" s="27">
        <f t="shared" si="26"/>
        <v>45671</v>
      </c>
      <c r="U37" s="27">
        <f t="shared" si="26"/>
        <v>45672</v>
      </c>
      <c r="V37" s="27">
        <f t="shared" si="26"/>
        <v>45673</v>
      </c>
      <c r="W37" s="27">
        <f t="shared" si="26"/>
        <v>45674</v>
      </c>
      <c r="X37" s="27">
        <f t="shared" si="26"/>
        <v>45675</v>
      </c>
    </row>
    <row r="38" spans="1:24" ht="27" customHeight="1">
      <c r="A38" s="134">
        <f>IF(ISNA(IF(C38="","",LOOKUP(C38,'Date by Week Number'!$C$2:$FE$2,'Date by Week Number'!$C$5:$FF$5)))=TRUE,"",LOOKUP(C38,'Date by Week Number'!$C$2:$FE$2,'Date by Week Number'!$C$5:$FF$5))</f>
        <v>47</v>
      </c>
      <c r="B38" s="27">
        <f>DATE(YEAR(H37),MONTH(H37),DAY(H37+1))</f>
        <v>45613</v>
      </c>
      <c r="C38" s="27">
        <f aca="true" t="shared" si="27" ref="C38:H38">DATE(YEAR(B38),MONTH(B38),DAY(B38+1))</f>
        <v>45614</v>
      </c>
      <c r="D38" s="27">
        <f t="shared" si="27"/>
        <v>45615</v>
      </c>
      <c r="E38" s="27">
        <f t="shared" si="27"/>
        <v>45616</v>
      </c>
      <c r="F38" s="27">
        <f t="shared" si="27"/>
        <v>45617</v>
      </c>
      <c r="G38" s="27">
        <f t="shared" si="27"/>
        <v>45618</v>
      </c>
      <c r="H38" s="27">
        <f t="shared" si="27"/>
        <v>45619</v>
      </c>
      <c r="I38" s="134">
        <f>IF(ISNA(IF(K38="","",LOOKUP(K38,'Date by Week Number'!$C$2:$FE$2,'Date by Week Number'!$C$5:$FF$5)))=TRUE,"",LOOKUP(K38,'Date by Week Number'!$C$2:$FE$2,'Date by Week Number'!$C$5:$FF$5))</f>
        <v>52</v>
      </c>
      <c r="J38" s="27">
        <f>DATE(YEAR(P37),MONTH(P37),DAY(P37+1))</f>
        <v>45648</v>
      </c>
      <c r="K38" s="27">
        <f aca="true" t="shared" si="28" ref="K38:P38">DATE(YEAR(J38),MONTH(J38),DAY(J38+1))</f>
        <v>45649</v>
      </c>
      <c r="L38" s="27">
        <f t="shared" si="28"/>
        <v>45650</v>
      </c>
      <c r="M38" s="27">
        <f t="shared" si="28"/>
        <v>45651</v>
      </c>
      <c r="N38" s="27">
        <f t="shared" si="28"/>
        <v>45652</v>
      </c>
      <c r="O38" s="27">
        <f t="shared" si="28"/>
        <v>45653</v>
      </c>
      <c r="P38" s="27">
        <f t="shared" si="28"/>
        <v>45654</v>
      </c>
      <c r="Q38" s="134">
        <f>IF(ISNA(IF(S38="","",LOOKUP(S38,'Date by Week Number'!$C$2:$FE$2,'Date by Week Number'!$C$5:$FF$5)))=TRUE,"",LOOKUP(S38,'Date by Week Number'!$C$2:$FE$2,'Date by Week Number'!$C$5:$FF$5))</f>
        <v>3</v>
      </c>
      <c r="R38" s="27">
        <f>DATE(YEAR(X37),MONTH(X37),DAY(X37+1))</f>
        <v>45676</v>
      </c>
      <c r="S38" s="27">
        <f aca="true" t="shared" si="29" ref="S38:X38">DATE(YEAR(R38),MONTH(R38),DAY(R38+1))</f>
        <v>45677</v>
      </c>
      <c r="T38" s="27">
        <f t="shared" si="29"/>
        <v>45678</v>
      </c>
      <c r="U38" s="27">
        <f t="shared" si="29"/>
        <v>45679</v>
      </c>
      <c r="V38" s="27">
        <f t="shared" si="29"/>
        <v>45680</v>
      </c>
      <c r="W38" s="27">
        <f t="shared" si="29"/>
        <v>45681</v>
      </c>
      <c r="X38" s="27">
        <f t="shared" si="29"/>
        <v>45682</v>
      </c>
    </row>
    <row r="39" spans="1:24" ht="27" customHeight="1">
      <c r="A39" s="134">
        <f>IF(ISNA(IF(C39="","",LOOKUP(C39,'Date by Week Number'!$C$2:$FE$2,'Date by Week Number'!$C$5:$FF$5)))=TRUE,"",LOOKUP(C39,'Date by Week Number'!$C$2:$FE$2,'Date by Week Number'!$C$5:$FF$5))</f>
        <v>48</v>
      </c>
      <c r="B39" s="27">
        <f>IF(DAY(H35+22)=1,"",DATE(YEAR(H35),MONTH(H35),DAY(H35+22)))</f>
        <v>45620</v>
      </c>
      <c r="C39" s="27">
        <f>IF(OR(DAY(H35+23)=1,B39=""),"",IF(OR(NOT(MONTH(F32)=2),AND(MONTH(F32)=2,OR(MOD(YEAR(F32),400)=0,AND(MOD(YEAR(F32),4)=0,MOD(YEAR(F32),100)&lt;&gt;0)))),DATE(YEAR(B39),MONTH(B39),DAY(B39+1)),IF(AND(MONTH(F32)=2,OR(C35="",D35="")),DATE(YEAR(B39),MONTH(B39),DAY(B39+1)),"")))</f>
        <v>45621</v>
      </c>
      <c r="D39" s="27">
        <f>IF(OR(DAY(H35+23)=1,DAY(H35+24)=1,C39=""),"",IF(OR(NOT(MONTH(F32)=2),AND(MONTH(F32)=2,OR(MOD(YEAR(F32),400)=0,AND(MOD(YEAR(F32),4)=0,MOD(YEAR(F32),100)&lt;&gt;0)))),DATE(YEAR(C39),MONTH(C39),DAY(C39+1)),IF(AND(MONTH(F32)=2,OR(C35="",D35="")),DATE(YEAR(C39),MONTH(C39),DAY(C39+1)),"")))</f>
        <v>45622</v>
      </c>
      <c r="E39" s="27">
        <f>IF(OR(DAY(H35+23)=1,DAY(H35+24)=1,DAY(H35+25)=1,D39=""),"",IF(OR(NOT(MONTH(F32)=2),AND(MONTH(F32)=2,OR(MOD(YEAR(F32),400)=0,AND(MOD(YEAR(F32),4)=0,MOD(YEAR(F32),100)&lt;&gt;0)))),DATE(YEAR(D39),MONTH(D39),DAY(D39+1)),IF(AND(MONTH(F32)=2,OR(C35="",D35="")),DATE(YEAR(D39),MONTH(D39),DAY(D39+1)),"")))</f>
        <v>45623</v>
      </c>
      <c r="F39" s="27">
        <f>IF(OR(DAY(H35+23)=1,DAY(H35+24)=1,DAY(H35+25)=1,DAY(H35+26)=1,E39=""),"",IF(OR(NOT(MONTH(F32)=2),AND(MONTH(F32)=2,OR(MOD(YEAR(F32),400)=0,AND(MOD(YEAR(F32),4)=0,MOD(YEAR(F32),100)&lt;&gt;0)))),DATE(YEAR(E39),MONTH(E39),DAY(E39+1)),IF(AND(MONTH(F32)=2,OR(C35="",D35="")),DATE(YEAR(E39),MONTH(E39),DAY(E39+1)),"")))</f>
        <v>45624</v>
      </c>
      <c r="G39" s="27">
        <f>IF(OR(DAY(H35+23)=1,DAY(H35+24)=1,DAY(H35+25)=1,DAY(H35+26)=1,DAY(H35+27)=1,F39=""),"",IF(OR(NOT(MONTH(F32)=2),AND(MONTH(F32)=2,OR(MOD(YEAR(F32),400)=0,AND(MOD(YEAR(F32),4)=0,MOD(YEAR(F32),100)&lt;&gt;0)))),DATE(YEAR(F39),MONTH(F39),DAY(F39+1)),IF(AND(MONTH(F32)=2,OR(C35="",D35="")),DATE(YEAR(F39),MONTH(F39),DAY(F39+1)),"")))</f>
        <v>45625</v>
      </c>
      <c r="H39" s="27">
        <f>IF(OR(DAY(H35+23)=1,DAY(H35+24)=1,DAY(H35+25)=1,DAY(H35+26)=1,DAY(H35+27)=1,DAY(H35+28)=1,G39=""),"",IF(OR(NOT(MONTH(F32)=2),AND(MONTH(F32)=2,OR(MOD(YEAR(F32),400)=0,AND(MOD(YEAR(F32),4)=0,MOD(YEAR(F32),100)&lt;&gt;0)))),DATE(YEAR(G39),MONTH(G39),DAY(G39+1)),IF(AND(MONTH(F32)=2,OR(C35="",D35="")),DATE(YEAR(G39),MONTH(G39),DAY(G39+1)),"")))</f>
        <v>45626</v>
      </c>
      <c r="I39" s="134">
        <f>IF(ISNA(IF(K39="","",LOOKUP(K39,'Date by Week Number'!$C$2:$FE$2,'Date by Week Number'!$C$5:$FF$5)))=TRUE,"",LOOKUP(K39,'Date by Week Number'!$C$2:$FE$2,'Date by Week Number'!$C$5:$FF$5))</f>
        <v>53</v>
      </c>
      <c r="J39" s="27">
        <f>IF(DAY(P35+22)=1,"",DATE(YEAR(P35),MONTH(P35),DAY(P35+22)))</f>
        <v>45655</v>
      </c>
      <c r="K39" s="27">
        <f>IF(OR(DAY(P35+23)=1,J39=""),"",IF(OR(NOT(MONTH(N32)=2),AND(MONTH(N32)=2,OR(MOD(YEAR(N32),400)=0,AND(MOD(YEAR(N32),4)=0,MOD(YEAR(N32),100)&lt;&gt;0)))),DATE(YEAR(J39),MONTH(J39),DAY(J39+1)),IF(AND(MONTH(N32)=2,OR(K35="",L35="")),DATE(YEAR(J39),MONTH(J39),DAY(J39+1)),"")))</f>
        <v>45656</v>
      </c>
      <c r="L39" s="27">
        <f>IF(OR(DAY(P35+23)=1,DAY(P35+24)=1,K39=""),"",IF(OR(NOT(MONTH(N32)=2),AND(MONTH(N32)=2,OR(MOD(YEAR(N32),400)=0,AND(MOD(YEAR(N32),4)=0,MOD(YEAR(N32),100)&lt;&gt;0)))),DATE(YEAR(K39),MONTH(K39),DAY(K39+1)),IF(AND(MONTH(N32)=2,OR(K35="",L35="")),DATE(YEAR(K39),MONTH(K39),DAY(K39+1)),"")))</f>
        <v>45657</v>
      </c>
      <c r="M39" s="27">
        <f>IF(OR(DAY(P35+23)=1,DAY(P35+24)=1,DAY(P35+25)=1,L39=""),"",IF(OR(NOT(MONTH(N32)=2),AND(MONTH(N32)=2,OR(MOD(YEAR(N32),400)=0,AND(MOD(YEAR(N32),4)=0,MOD(YEAR(N32),100)&lt;&gt;0)))),DATE(YEAR(L39),MONTH(L39),DAY(L39+1)),IF(AND(MONTH(N32)=2,OR(K35="",L35="")),DATE(YEAR(L39),MONTH(L39),DAY(L39+1)),"")))</f>
      </c>
      <c r="N39" s="27">
        <f>IF(OR(DAY(P35+23)=1,DAY(P35+24)=1,DAY(P35+25)=1,DAY(P35+26)=1,M39=""),"",IF(OR(NOT(MONTH(N32)=2),AND(MONTH(N32)=2,OR(MOD(YEAR(N32),400)=0,AND(MOD(YEAR(N32),4)=0,MOD(YEAR(N32),100)&lt;&gt;0)))),DATE(YEAR(M39),MONTH(M39),DAY(M39+1)),IF(AND(MONTH(N32)=2,OR(K35="",L35="")),DATE(YEAR(M39),MONTH(M39),DAY(M39+1)),"")))</f>
      </c>
      <c r="O39" s="27">
        <f>IF(OR(DAY(P35+23)=1,DAY(P35+24)=1,DAY(P35+25)=1,DAY(P35+26)=1,DAY(P35+27)=1,N39=""),"",IF(OR(NOT(MONTH(N32)=2),AND(MONTH(N32)=2,OR(MOD(YEAR(N32),400)=0,AND(MOD(YEAR(N32),4)=0,MOD(YEAR(N32),100)&lt;&gt;0)))),DATE(YEAR(N39),MONTH(N39),DAY(N39+1)),IF(AND(MONTH(N32)=2,OR(K35="",L35="")),DATE(YEAR(N39),MONTH(N39),DAY(N39+1)),"")))</f>
      </c>
      <c r="P39" s="27">
        <f>IF(OR(DAY(P35+23)=1,DAY(P35+24)=1,DAY(P35+25)=1,DAY(P35+26)=1,DAY(P35+27)=1,DAY(P35+28)=1,O39=""),"",IF(OR(NOT(MONTH(N32)=2),AND(MONTH(N32)=2,OR(MOD(YEAR(N32),400)=0,AND(MOD(YEAR(N32),4)=0,MOD(YEAR(N32),100)&lt;&gt;0)))),DATE(YEAR(O39),MONTH(O39),DAY(O39+1)),IF(AND(MONTH(N32)=2,OR(K35="",L35="")),DATE(YEAR(O39),MONTH(O39),DAY(O39+1)),"")))</f>
      </c>
      <c r="Q39" s="134">
        <f>IF(ISNA(IF(S39="","",LOOKUP(S39,'Date by Week Number'!$C$2:$FE$2,'Date by Week Number'!$C$5:$FF$5)))=TRUE,"",LOOKUP(S39,'Date by Week Number'!$C$2:$FE$2,'Date by Week Number'!$C$5:$FF$5))</f>
        <v>4</v>
      </c>
      <c r="R39" s="27">
        <f>IF(DAY(X35+22)=1,"",DATE(YEAR(X35),MONTH(X35),DAY(X35+22)))</f>
        <v>45683</v>
      </c>
      <c r="S39" s="27">
        <f>IF(OR(DAY(X35+23)=1,R39=""),"",IF(OR(NOT(MONTH(V32)=2),AND(MONTH(V32)=2,OR(MOD(YEAR(V32),400)=0,AND(MOD(YEAR(V32),4)=0,MOD(YEAR(V32),100)&lt;&gt;0)))),DATE(YEAR(R39),MONTH(R39),DAY(R39+1)),IF(AND(MONTH(V32)=2,OR(S35="",T35="")),DATE(YEAR(R39),MONTH(R39),DAY(R39+1)),"")))</f>
        <v>45684</v>
      </c>
      <c r="T39" s="27">
        <f>IF(OR(DAY(X35+23)=1,DAY(X35+24)=1,S39=""),"",IF(OR(NOT(MONTH(V32)=2),AND(MONTH(V32)=2,OR(MOD(YEAR(V32),400)=0,AND(MOD(YEAR(V32),4)=0,MOD(YEAR(V32),100)&lt;&gt;0)))),DATE(YEAR(S39),MONTH(S39),DAY(S39+1)),IF(AND(MONTH(V32)=2,OR(S35="",T35="")),DATE(YEAR(S39),MONTH(S39),DAY(S39+1)),"")))</f>
        <v>45685</v>
      </c>
      <c r="U39" s="27">
        <f>IF(OR(DAY(X35+23)=1,DAY(X35+24)=1,DAY(X35+25)=1,T39=""),"",IF(OR(NOT(MONTH(V32)=2),AND(MONTH(V32)=2,OR(MOD(YEAR(V32),400)=0,AND(MOD(YEAR(V32),4)=0,MOD(YEAR(V32),100)&lt;&gt;0)))),DATE(YEAR(T39),MONTH(T39),DAY(T39+1)),IF(AND(MONTH(V32)=2,OR(S35="",T35="")),DATE(YEAR(T39),MONTH(T39),DAY(T39+1)),"")))</f>
        <v>45686</v>
      </c>
      <c r="V39" s="27">
        <f>IF(OR(DAY(X35+23)=1,DAY(X35+24)=1,DAY(X35+25)=1,DAY(X35+26)=1,U39=""),"",IF(OR(NOT(MONTH(V32)=2),AND(MONTH(V32)=2,OR(MOD(YEAR(V32),400)=0,AND(MOD(YEAR(V32),4)=0,MOD(YEAR(V32),100)&lt;&gt;0)))),DATE(YEAR(U39),MONTH(U39),DAY(U39+1)),IF(AND(MONTH(V32)=2,OR(S35="",T35="")),DATE(YEAR(U39),MONTH(U39),DAY(U39+1)),"")))</f>
        <v>45687</v>
      </c>
      <c r="W39" s="27">
        <f>IF(OR(DAY(X35+23)=1,DAY(X35+24)=1,DAY(X35+25)=1,DAY(X35+26)=1,DAY(X35+27)=1,V39=""),"",IF(OR(NOT(MONTH(V32)=2),AND(MONTH(V32)=2,OR(MOD(YEAR(V32),400)=0,AND(MOD(YEAR(V32),4)=0,MOD(YEAR(V32),100)&lt;&gt;0)))),DATE(YEAR(V39),MONTH(V39),DAY(V39+1)),IF(AND(MONTH(V32)=2,OR(S35="",T35="")),DATE(YEAR(V39),MONTH(V39),DAY(V39+1)),"")))</f>
        <v>45688</v>
      </c>
      <c r="X39" s="27">
        <f>IF(OR(DAY(X35+23)=1,DAY(X35+24)=1,DAY(X35+25)=1,DAY(X35+26)=1,DAY(X35+27)=1,DAY(X35+28)=1,W39=""),"",IF(OR(NOT(MONTH(V32)=2),AND(MONTH(V32)=2,OR(MOD(YEAR(V32),400)=0,AND(MOD(YEAR(V32),4)=0,MOD(YEAR(V32),100)&lt;&gt;0)))),DATE(YEAR(W39),MONTH(W39),DAY(W39+1)),IF(AND(MONTH(V32)=2,OR(S35="",T35="")),DATE(YEAR(W39),MONTH(W39),DAY(W39+1)),"")))</f>
      </c>
    </row>
    <row r="40" spans="1:24" ht="27" customHeight="1">
      <c r="A40" s="134">
        <f>IF(C40="","",IF(ISNA(IF(C40="","",LOOKUP(C40,'Date by Week Number'!$C$2:$FE$2,'Date by Week Number'!$C$5:$FF$5)))=TRUE,"",LOOKUP(C40,'Date by Week Number'!$C$2:$FE$2,'Date by Week Number'!$C$5:$FF$5)))</f>
      </c>
      <c r="B40" s="27">
        <f>IF(OR(DAY(H35+24)=1,DAY(H35+25)=1,DAY(H35+26)=1,DAY(H35+27)=1,DAY(H35+28)=1,DAY(H35+29)=1),"",IF(MONTH(H35)=2,"",DATE(YEAR(H39),MONTH(H39),DAY(H39+1))))</f>
      </c>
      <c r="C40" s="27">
        <f>IF(OR(DAY(H35+24)=1,DAY(H35+25)=1,DAY(H35+26)=1,DAY(H35+27)=1,DAY(H35+28)=1,DAY(H35+29)=1,DAY(H35+30)=1),"",IF(OR(MONTH(H35)=2,MONTH(F32)=4,MONTH(F32)=6,MONTH(F32)=9,MONTH(F32)=11),"",DATE(YEAR(B40),MONTH(B40),DAY(B40+1))))</f>
      </c>
      <c r="D40" s="89"/>
      <c r="E40" s="89"/>
      <c r="F40" s="89"/>
      <c r="G40" s="89"/>
      <c r="H40" s="89"/>
      <c r="I40" s="134">
        <f>IF(K40="","",IF(ISNA(IF(K40="","",LOOKUP(K40,'Date by Week Number'!$C$2:$FE$2,'Date by Week Number'!$C$5:$FF$5)))=TRUE,"",LOOKUP(K40,'Date by Week Number'!$C$2:$FE$2,'Date by Week Number'!$C$5:$FF$5)))</f>
      </c>
      <c r="J40" s="27">
        <f>IF(OR(DAY(P35+24)=1,DAY(P35+25)=1,DAY(P35+26)=1,DAY(P35+27)=1,DAY(P35+28)=1,DAY(P35+29)=1),"",IF(MONTH(P35)=2,"",DATE(YEAR(P39),MONTH(P39),DAY(P39+1))))</f>
      </c>
      <c r="K40" s="27">
        <f>IF(OR(DAY(P35+24)=1,DAY(P35+25)=1,DAY(P35+26)=1,DAY(P35+27)=1,DAY(P35+28)=1,DAY(P35+29)=1,DAY(P35+30)=1),"",IF(OR(MONTH(P35)=2,MONTH(N32)=4,MONTH(N32)=6,MONTH(N32)=9,MONTH(N32)=11),"",DATE(YEAR(J40),MONTH(J40),DAY(J40+1))))</f>
      </c>
      <c r="L40" s="89"/>
      <c r="M40" s="89"/>
      <c r="N40" s="89"/>
      <c r="O40" s="89"/>
      <c r="P40" s="89"/>
      <c r="Q40" s="134">
        <f>IF(S40="","",IF(ISNA(IF(S40="","",LOOKUP(S40,'Date by Week Number'!$C$2:$FE$2,'Date by Week Number'!$C$5:$FF$5)))=TRUE,"",LOOKUP(S40,'Date by Week Number'!$C$2:$FE$2,'Date by Week Number'!$C$5:$FF$5)))</f>
      </c>
      <c r="R40" s="27">
        <f>IF(OR(DAY(X35+24)=1,DAY(X35+25)=1,DAY(X35+26)=1,DAY(X35+27)=1,DAY(X35+28)=1,DAY(X35+29)=1),"",IF(MONTH(X35)=2,"",DATE(YEAR(X39),MONTH(X39),DAY(X39+1))))</f>
      </c>
      <c r="S40" s="27">
        <f>IF(OR(DAY(X35+24)=1,DAY(X35+25)=1,DAY(X35+26)=1,DAY(X35+27)=1,DAY(X35+28)=1,DAY(X35+29)=1,DAY(X35+30)=1),"",IF(OR(MONTH(X35)=2,MONTH(V32)=4,MONTH(V32)=6,MONTH(V32)=9,MONTH(V32)=11),"",DATE(YEAR(R40),MONTH(R40),DAY(R40+1))))</f>
      </c>
      <c r="T40" s="89"/>
      <c r="U40" s="89"/>
      <c r="V40" s="89"/>
      <c r="W40" s="89"/>
      <c r="X40" s="89"/>
    </row>
    <row r="41" ht="6" customHeight="1"/>
    <row r="42" ht="20.25" customHeight="1">
      <c r="A42" s="18" t="s">
        <v>23</v>
      </c>
    </row>
    <row r="44" spans="2:27" ht="39.75" customHeight="1" thickBot="1">
      <c r="B44" s="8"/>
      <c r="C44" s="8"/>
      <c r="D44" s="8"/>
      <c r="E44" s="8"/>
      <c r="F44" s="8"/>
      <c r="G44" s="8"/>
      <c r="H44" s="8"/>
      <c r="I44" s="9"/>
      <c r="J44" s="8"/>
      <c r="K44" s="8"/>
      <c r="L44" s="8"/>
      <c r="M44" s="8"/>
      <c r="N44" s="8"/>
      <c r="O44" s="8"/>
      <c r="X44" s="144" t="s">
        <v>21</v>
      </c>
      <c r="Y44" s="145"/>
      <c r="Z44" s="145"/>
      <c r="AA44" s="145"/>
    </row>
    <row r="45" spans="2:15" ht="39.75" customHeight="1" thickBot="1">
      <c r="B45" s="172" t="s">
        <v>4</v>
      </c>
      <c r="C45" s="173"/>
      <c r="D45" s="173"/>
      <c r="E45" s="173"/>
      <c r="F45" s="164" t="s">
        <v>3</v>
      </c>
      <c r="G45" s="164"/>
      <c r="H45" s="164"/>
      <c r="I45" s="165"/>
      <c r="J45" s="165"/>
      <c r="K45" s="165"/>
      <c r="L45" s="165"/>
      <c r="M45" s="165"/>
      <c r="N45" s="10" t="s">
        <v>17</v>
      </c>
      <c r="O45" s="10" t="s">
        <v>18</v>
      </c>
    </row>
    <row r="46" spans="2:15" ht="39.75" customHeight="1">
      <c r="B46" s="154">
        <f>IF(U102=1,DATE(YEAR(P102),MONTH(P102),DAY(P102)+1),P102)</f>
        <v>45658</v>
      </c>
      <c r="C46" s="155"/>
      <c r="D46" s="155"/>
      <c r="E46" s="156"/>
      <c r="F46" s="161" t="s">
        <v>7</v>
      </c>
      <c r="G46" s="162"/>
      <c r="H46" s="162"/>
      <c r="I46" s="162"/>
      <c r="J46" s="162"/>
      <c r="K46" s="162"/>
      <c r="L46" s="162"/>
      <c r="M46" s="163"/>
      <c r="N46" s="11">
        <v>1</v>
      </c>
      <c r="O46" s="11">
        <f>IF(N46&lt;MONTH($B$6),YEAR($B$6)+1,YEAR($B$6))</f>
        <v>2025</v>
      </c>
    </row>
    <row r="47" spans="2:24" ht="39.75" customHeight="1">
      <c r="B47" s="154">
        <f>IF(WEEKDAY(P103)=5,P103-3,IF(WEEKDAY(P103)=1,P103+1,IF(WEEKDAY(P103)=3,P103-1,IF(WEEKDAY(P103)=4,P103-2,IF(WEEKDAY(P103)=6,P103-4,IF(WEEKDAY(P103)=7,P103-5,P103))))))</f>
        <v>45670</v>
      </c>
      <c r="C47" s="155"/>
      <c r="D47" s="155"/>
      <c r="E47" s="156"/>
      <c r="F47" s="157" t="s">
        <v>8</v>
      </c>
      <c r="G47" s="158"/>
      <c r="H47" s="158"/>
      <c r="I47" s="158"/>
      <c r="J47" s="158"/>
      <c r="K47" s="158"/>
      <c r="L47" s="158"/>
      <c r="M47" s="158"/>
      <c r="N47" s="12">
        <v>1</v>
      </c>
      <c r="O47" s="12">
        <f aca="true" t="shared" si="30" ref="O47:O61">IF(N47&lt;MONTH($B$6),YEAR($B$6)+1,YEAR($B$6))</f>
        <v>2025</v>
      </c>
      <c r="X47" s="17"/>
    </row>
    <row r="48" spans="2:15" ht="39.75" customHeight="1">
      <c r="B48" s="154">
        <f>IF(U104=1,DATE(YEAR(P104),MONTH(P104),DAY(P104)+1),P104)</f>
        <v>45334</v>
      </c>
      <c r="C48" s="155"/>
      <c r="D48" s="155"/>
      <c r="E48" s="156"/>
      <c r="F48" s="157" t="s">
        <v>5</v>
      </c>
      <c r="G48" s="158"/>
      <c r="H48" s="158"/>
      <c r="I48" s="158"/>
      <c r="J48" s="158"/>
      <c r="K48" s="158"/>
      <c r="L48" s="158"/>
      <c r="M48" s="158"/>
      <c r="N48" s="12">
        <v>2</v>
      </c>
      <c r="O48" s="12">
        <f t="shared" si="30"/>
        <v>2024</v>
      </c>
    </row>
    <row r="49" spans="2:15" ht="39.75" customHeight="1">
      <c r="B49" s="154">
        <f>IF(U105=1,DATE(YEAR(P105),MONTH(P105),DAY(P105)+1),P105)</f>
        <v>45371</v>
      </c>
      <c r="C49" s="155"/>
      <c r="D49" s="155"/>
      <c r="E49" s="156"/>
      <c r="F49" s="157" t="s">
        <v>9</v>
      </c>
      <c r="G49" s="158"/>
      <c r="H49" s="158"/>
      <c r="I49" s="158"/>
      <c r="J49" s="158"/>
      <c r="K49" s="158"/>
      <c r="L49" s="158"/>
      <c r="M49" s="158"/>
      <c r="N49" s="12">
        <v>3</v>
      </c>
      <c r="O49" s="12">
        <f t="shared" si="30"/>
        <v>2024</v>
      </c>
    </row>
    <row r="50" spans="2:15" ht="39.75" customHeight="1">
      <c r="B50" s="154">
        <f>IF(U106=1,DATE(YEAR(P106),MONTH(P106),DAY(P106)+1),P106)</f>
        <v>45411</v>
      </c>
      <c r="C50" s="155"/>
      <c r="D50" s="155"/>
      <c r="E50" s="156"/>
      <c r="F50" s="157" t="s">
        <v>88</v>
      </c>
      <c r="G50" s="158"/>
      <c r="H50" s="158"/>
      <c r="I50" s="158"/>
      <c r="J50" s="158"/>
      <c r="K50" s="158"/>
      <c r="L50" s="158"/>
      <c r="M50" s="158"/>
      <c r="N50" s="12">
        <v>4</v>
      </c>
      <c r="O50" s="12">
        <f t="shared" si="30"/>
        <v>2024</v>
      </c>
    </row>
    <row r="51" spans="2:15" ht="39.75" customHeight="1">
      <c r="B51" s="154">
        <f>IF(P107="",DATE(O51,5,6),IF(U108=1,DATE(YEAR(P108),MONTH(P108),DAY(P108)+1),P108))</f>
        <v>45415</v>
      </c>
      <c r="C51" s="155"/>
      <c r="D51" s="155"/>
      <c r="E51" s="156"/>
      <c r="F51" s="157" t="str">
        <f>IF(P107="","Midori no hi
(Nature Day ) -substitue","Midori no hi
(Nature Day )")</f>
        <v>Midori no hi
(Nature Day )</v>
      </c>
      <c r="G51" s="158"/>
      <c r="H51" s="158"/>
      <c r="I51" s="158"/>
      <c r="J51" s="158"/>
      <c r="K51" s="158"/>
      <c r="L51" s="158"/>
      <c r="M51" s="158"/>
      <c r="N51" s="12">
        <v>5</v>
      </c>
      <c r="O51" s="12">
        <f t="shared" si="30"/>
        <v>2024</v>
      </c>
    </row>
    <row r="52" spans="2:15" ht="39.75" customHeight="1">
      <c r="B52" s="154">
        <f>IF(U108=1,DATE(YEAR(P108),MONTH(P108),DAY(P108)+1),P108)</f>
        <v>45415</v>
      </c>
      <c r="C52" s="155"/>
      <c r="D52" s="155"/>
      <c r="E52" s="156"/>
      <c r="F52" s="157" t="s">
        <v>10</v>
      </c>
      <c r="G52" s="158"/>
      <c r="H52" s="158"/>
      <c r="I52" s="158"/>
      <c r="J52" s="158"/>
      <c r="K52" s="158"/>
      <c r="L52" s="158"/>
      <c r="M52" s="158"/>
      <c r="N52" s="12">
        <v>5</v>
      </c>
      <c r="O52" s="12">
        <f t="shared" si="30"/>
        <v>2024</v>
      </c>
    </row>
    <row r="53" spans="2:15" ht="39.75" customHeight="1">
      <c r="B53" s="154">
        <f>IF(U109=1,DATE(YEAR(P109),MONTH(P109),DAY(P109)+1),P109)</f>
        <v>45418</v>
      </c>
      <c r="C53" s="155"/>
      <c r="D53" s="155"/>
      <c r="E53" s="156"/>
      <c r="F53" s="157" t="s">
        <v>11</v>
      </c>
      <c r="G53" s="158"/>
      <c r="H53" s="158"/>
      <c r="I53" s="158"/>
      <c r="J53" s="158"/>
      <c r="K53" s="158"/>
      <c r="L53" s="158"/>
      <c r="M53" s="158"/>
      <c r="N53" s="12">
        <v>5</v>
      </c>
      <c r="O53" s="12">
        <f t="shared" si="30"/>
        <v>2024</v>
      </c>
    </row>
    <row r="54" spans="2:15" ht="39.75" customHeight="1">
      <c r="B54" s="154">
        <f>IF(WEEKDAY(P110)=5,P110-3,IF(WEEKDAY(P110)=1,P110+1,IF(WEEKDAY(P110)=3,P110-1,IF(WEEKDAY(P110)=4,P110-2,IF(WEEKDAY(P110)=6,P110-4,IF(WEEKDAY(P110)=7,P110-5,P110))))))</f>
        <v>45488</v>
      </c>
      <c r="C54" s="155"/>
      <c r="D54" s="155"/>
      <c r="E54" s="156"/>
      <c r="F54" s="157" t="s">
        <v>2</v>
      </c>
      <c r="G54" s="158"/>
      <c r="H54" s="158"/>
      <c r="I54" s="158"/>
      <c r="J54" s="158"/>
      <c r="K54" s="158"/>
      <c r="L54" s="158"/>
      <c r="M54" s="158"/>
      <c r="N54" s="12">
        <v>7</v>
      </c>
      <c r="O54" s="12">
        <f t="shared" si="30"/>
        <v>2024</v>
      </c>
    </row>
    <row r="55" spans="2:15" ht="39.75" customHeight="1">
      <c r="B55" s="154">
        <f>IF(WEEKDAY(P111)=5,P111-3,IF(WEEKDAY(P111)=1,P111+1,IF(WEEKDAY(P111)=3,P111-1,IF(WEEKDAY(P111)=4,P111-2,IF(WEEKDAY(P111)=6,P111-4,IF(WEEKDAY(P111)=7,P111-5,P111))))))</f>
        <v>45551</v>
      </c>
      <c r="C55" s="155"/>
      <c r="D55" s="155"/>
      <c r="E55" s="156"/>
      <c r="F55" s="157" t="s">
        <v>12</v>
      </c>
      <c r="G55" s="158"/>
      <c r="H55" s="158"/>
      <c r="I55" s="158"/>
      <c r="J55" s="158"/>
      <c r="K55" s="158"/>
      <c r="L55" s="158"/>
      <c r="M55" s="158"/>
      <c r="N55" s="12">
        <v>9</v>
      </c>
      <c r="O55" s="12">
        <f t="shared" si="30"/>
        <v>2024</v>
      </c>
    </row>
    <row r="56" spans="2:15" ht="39.75" customHeight="1">
      <c r="B56" s="154">
        <f>IF(B57-B55=2,B55+1,"")</f>
      </c>
      <c r="C56" s="155"/>
      <c r="D56" s="155"/>
      <c r="E56" s="156"/>
      <c r="F56" s="157" t="s">
        <v>87</v>
      </c>
      <c r="G56" s="158"/>
      <c r="H56" s="158"/>
      <c r="I56" s="158"/>
      <c r="J56" s="158"/>
      <c r="K56" s="158"/>
      <c r="L56" s="158"/>
      <c r="M56" s="158"/>
      <c r="N56" s="12">
        <v>9</v>
      </c>
      <c r="O56" s="12">
        <f t="shared" si="30"/>
        <v>2024</v>
      </c>
    </row>
    <row r="57" spans="2:15" ht="39.75" customHeight="1">
      <c r="B57" s="154">
        <f>IF(U112=1,DATE(YEAR(P112),MONTH(P112),DAY(P112)+1),P112)</f>
        <v>45558</v>
      </c>
      <c r="C57" s="155"/>
      <c r="D57" s="155"/>
      <c r="E57" s="156"/>
      <c r="F57" s="157" t="s">
        <v>20</v>
      </c>
      <c r="G57" s="158"/>
      <c r="H57" s="158"/>
      <c r="I57" s="158"/>
      <c r="J57" s="158"/>
      <c r="K57" s="158"/>
      <c r="L57" s="158"/>
      <c r="M57" s="158"/>
      <c r="N57" s="12">
        <v>9</v>
      </c>
      <c r="O57" s="12">
        <f t="shared" si="30"/>
        <v>2024</v>
      </c>
    </row>
    <row r="58" spans="2:15" ht="39.75" customHeight="1">
      <c r="B58" s="154">
        <f>IF(U113=1,DATE(YEAR(P113),MONTH(P113),DAY(P113)+1),P113)</f>
        <v>45579</v>
      </c>
      <c r="C58" s="155"/>
      <c r="D58" s="155"/>
      <c r="E58" s="156"/>
      <c r="F58" s="157" t="s">
        <v>13</v>
      </c>
      <c r="G58" s="158"/>
      <c r="H58" s="158"/>
      <c r="I58" s="158"/>
      <c r="J58" s="158"/>
      <c r="K58" s="158"/>
      <c r="L58" s="158"/>
      <c r="M58" s="158"/>
      <c r="N58" s="12">
        <v>10</v>
      </c>
      <c r="O58" s="12">
        <f t="shared" si="30"/>
        <v>2024</v>
      </c>
    </row>
    <row r="59" spans="2:15" ht="39.75" customHeight="1">
      <c r="B59" s="154">
        <f>IF(U114=1,DATE(YEAR(P114),MONTH(P114),DAY(P114)+1),P114)</f>
        <v>45600</v>
      </c>
      <c r="C59" s="155"/>
      <c r="D59" s="155"/>
      <c r="E59" s="156"/>
      <c r="F59" s="157" t="s">
        <v>14</v>
      </c>
      <c r="G59" s="158"/>
      <c r="H59" s="158"/>
      <c r="I59" s="158"/>
      <c r="J59" s="158"/>
      <c r="K59" s="158"/>
      <c r="L59" s="158"/>
      <c r="M59" s="158"/>
      <c r="N59" s="12">
        <v>11</v>
      </c>
      <c r="O59" s="12">
        <f t="shared" si="30"/>
        <v>2024</v>
      </c>
    </row>
    <row r="60" spans="2:15" ht="39.75" customHeight="1">
      <c r="B60" s="154">
        <f>IF(U115=1,DATE(YEAR(P115),MONTH(P115),DAY(P115)+1),P115)</f>
        <v>45619</v>
      </c>
      <c r="C60" s="155"/>
      <c r="D60" s="155"/>
      <c r="E60" s="156"/>
      <c r="F60" s="157" t="s">
        <v>15</v>
      </c>
      <c r="G60" s="158"/>
      <c r="H60" s="158"/>
      <c r="I60" s="158"/>
      <c r="J60" s="158"/>
      <c r="K60" s="158"/>
      <c r="L60" s="158"/>
      <c r="M60" s="158"/>
      <c r="N60" s="12">
        <v>11</v>
      </c>
      <c r="O60" s="12">
        <f t="shared" si="30"/>
        <v>2024</v>
      </c>
    </row>
    <row r="61" spans="2:15" ht="39.75" customHeight="1" thickBot="1">
      <c r="B61" s="154">
        <f>IF(U116=1,DATE(YEAR(P116),MONTH(P116),DAY(P116)+1),P116)</f>
        <v>45649</v>
      </c>
      <c r="C61" s="155"/>
      <c r="D61" s="155"/>
      <c r="E61" s="156"/>
      <c r="F61" s="166" t="s">
        <v>16</v>
      </c>
      <c r="G61" s="167"/>
      <c r="H61" s="167"/>
      <c r="I61" s="167"/>
      <c r="J61" s="167"/>
      <c r="K61" s="167"/>
      <c r="L61" s="167"/>
      <c r="M61" s="167"/>
      <c r="N61" s="13">
        <v>12</v>
      </c>
      <c r="O61" s="13">
        <f t="shared" si="30"/>
        <v>2024</v>
      </c>
    </row>
    <row r="62" spans="2:5" ht="20.25" customHeight="1">
      <c r="B62" s="174"/>
      <c r="C62" s="174"/>
      <c r="D62" s="174"/>
      <c r="E62" s="174"/>
    </row>
    <row r="63" spans="1:5" ht="20.25" customHeight="1">
      <c r="A63" s="18" t="s">
        <v>23</v>
      </c>
      <c r="B63" s="174"/>
      <c r="C63" s="174"/>
      <c r="D63" s="174"/>
      <c r="E63" s="174"/>
    </row>
    <row r="64" spans="2:5" ht="20.25" customHeight="1">
      <c r="B64" s="174"/>
      <c r="C64" s="174"/>
      <c r="D64" s="174"/>
      <c r="E64" s="174"/>
    </row>
    <row r="65" spans="2:5" ht="20.25" customHeight="1">
      <c r="B65" s="174"/>
      <c r="C65" s="174"/>
      <c r="D65" s="174"/>
      <c r="E65" s="174"/>
    </row>
    <row r="66" spans="2:5" ht="20.25" customHeight="1">
      <c r="B66" s="174"/>
      <c r="C66" s="174"/>
      <c r="D66" s="174"/>
      <c r="E66" s="174"/>
    </row>
    <row r="67" spans="2:5" ht="20.25" customHeight="1">
      <c r="B67" s="174"/>
      <c r="C67" s="174"/>
      <c r="D67" s="174"/>
      <c r="E67" s="174"/>
    </row>
    <row r="68" spans="2:5" ht="20.25" customHeight="1">
      <c r="B68" s="174"/>
      <c r="C68" s="174"/>
      <c r="D68" s="174"/>
      <c r="E68" s="174"/>
    </row>
    <row r="69" spans="2:5" ht="20.25" customHeight="1">
      <c r="B69" s="174"/>
      <c r="C69" s="174"/>
      <c r="D69" s="174"/>
      <c r="E69" s="174"/>
    </row>
    <row r="70" spans="2:5" ht="20.25" customHeight="1">
      <c r="B70" s="174"/>
      <c r="C70" s="174"/>
      <c r="D70" s="174"/>
      <c r="E70" s="174"/>
    </row>
    <row r="71" spans="2:5" ht="20.25" customHeight="1">
      <c r="B71" s="174"/>
      <c r="C71" s="174"/>
      <c r="D71" s="174"/>
      <c r="E71" s="174"/>
    </row>
    <row r="72" spans="2:5" ht="20.25" customHeight="1">
      <c r="B72" s="174"/>
      <c r="C72" s="174"/>
      <c r="D72" s="174"/>
      <c r="E72" s="174"/>
    </row>
    <row r="73" spans="2:5" ht="20.25" customHeight="1">
      <c r="B73" s="174"/>
      <c r="C73" s="174"/>
      <c r="D73" s="174"/>
      <c r="E73" s="174"/>
    </row>
    <row r="74" spans="2:5" ht="20.25" customHeight="1">
      <c r="B74" s="174"/>
      <c r="C74" s="174"/>
      <c r="D74" s="174"/>
      <c r="E74" s="174"/>
    </row>
    <row r="75" spans="2:5" ht="20.25" customHeight="1">
      <c r="B75" s="174"/>
      <c r="C75" s="174"/>
      <c r="D75" s="174"/>
      <c r="E75" s="174"/>
    </row>
    <row r="76" spans="2:5" ht="20.25" customHeight="1">
      <c r="B76" s="174"/>
      <c r="C76" s="174"/>
      <c r="D76" s="174"/>
      <c r="E76" s="174"/>
    </row>
    <row r="77" spans="2:5" ht="20.25" customHeight="1">
      <c r="B77" s="174"/>
      <c r="C77" s="174"/>
      <c r="D77" s="174"/>
      <c r="E77" s="174"/>
    </row>
    <row r="78" spans="2:5" ht="20.25" customHeight="1">
      <c r="B78" s="174"/>
      <c r="C78" s="174"/>
      <c r="D78" s="174"/>
      <c r="E78" s="174"/>
    </row>
    <row r="79" spans="2:5" ht="20.25" customHeight="1">
      <c r="B79" s="174"/>
      <c r="C79" s="174"/>
      <c r="D79" s="174"/>
      <c r="E79" s="174"/>
    </row>
    <row r="80" spans="2:5" ht="20.25" customHeight="1">
      <c r="B80" s="174"/>
      <c r="C80" s="174"/>
      <c r="D80" s="174"/>
      <c r="E80" s="174"/>
    </row>
    <row r="81" spans="2:5" ht="20.25" customHeight="1">
      <c r="B81" s="174"/>
      <c r="C81" s="174"/>
      <c r="D81" s="174"/>
      <c r="E81" s="174"/>
    </row>
    <row r="82" spans="2:5" ht="20.25" customHeight="1">
      <c r="B82" s="174"/>
      <c r="C82" s="174"/>
      <c r="D82" s="174"/>
      <c r="E82" s="174"/>
    </row>
    <row r="83" spans="2:5" ht="20.25" customHeight="1">
      <c r="B83" s="174"/>
      <c r="C83" s="174"/>
      <c r="D83" s="174"/>
      <c r="E83" s="174"/>
    </row>
    <row r="84" spans="2:5" ht="20.25" customHeight="1">
      <c r="B84" s="174"/>
      <c r="C84" s="174"/>
      <c r="D84" s="174"/>
      <c r="E84" s="174"/>
    </row>
    <row r="85" spans="2:5" ht="20.25" customHeight="1">
      <c r="B85" s="174"/>
      <c r="C85" s="174"/>
      <c r="D85" s="174"/>
      <c r="E85" s="174"/>
    </row>
    <row r="86" spans="2:5" ht="20.25" customHeight="1">
      <c r="B86" s="174"/>
      <c r="C86" s="174"/>
      <c r="D86" s="174"/>
      <c r="E86" s="174"/>
    </row>
    <row r="87" spans="2:5" ht="20.25" customHeight="1">
      <c r="B87" s="174"/>
      <c r="C87" s="174"/>
      <c r="D87" s="174"/>
      <c r="E87" s="174"/>
    </row>
    <row r="88" spans="2:5" ht="20.25" customHeight="1">
      <c r="B88" s="174"/>
      <c r="C88" s="174"/>
      <c r="D88" s="174"/>
      <c r="E88" s="174"/>
    </row>
    <row r="89" spans="2:5" ht="20.25" customHeight="1">
      <c r="B89" s="174"/>
      <c r="C89" s="174"/>
      <c r="D89" s="174"/>
      <c r="E89" s="174"/>
    </row>
    <row r="90" spans="2:5" ht="20.25" customHeight="1">
      <c r="B90" s="174"/>
      <c r="C90" s="174"/>
      <c r="D90" s="174"/>
      <c r="E90" s="174"/>
    </row>
    <row r="91" spans="2:5" ht="20.25" customHeight="1">
      <c r="B91" s="174"/>
      <c r="C91" s="174"/>
      <c r="D91" s="174"/>
      <c r="E91" s="174"/>
    </row>
    <row r="92" spans="2:5" ht="20.25" customHeight="1">
      <c r="B92" s="174"/>
      <c r="C92" s="174"/>
      <c r="D92" s="174"/>
      <c r="E92" s="174"/>
    </row>
    <row r="93" spans="2:5" ht="20.25" customHeight="1">
      <c r="B93" s="174"/>
      <c r="C93" s="174"/>
      <c r="D93" s="174"/>
      <c r="E93" s="174"/>
    </row>
    <row r="94" spans="2:5" ht="20.25" customHeight="1">
      <c r="B94" s="174"/>
      <c r="C94" s="174"/>
      <c r="D94" s="174"/>
      <c r="E94" s="174"/>
    </row>
    <row r="95" spans="2:5" ht="20.25" customHeight="1">
      <c r="B95" s="174"/>
      <c r="C95" s="174"/>
      <c r="D95" s="174"/>
      <c r="E95" s="174"/>
    </row>
    <row r="96" spans="2:5" ht="20.25" customHeight="1">
      <c r="B96" s="174"/>
      <c r="C96" s="174"/>
      <c r="D96" s="174"/>
      <c r="E96" s="174"/>
    </row>
    <row r="97" spans="2:5" ht="20.25" customHeight="1">
      <c r="B97" s="174"/>
      <c r="C97" s="174"/>
      <c r="D97" s="174"/>
      <c r="E97" s="174"/>
    </row>
    <row r="98" spans="2:5" ht="20.25" customHeight="1">
      <c r="B98" s="174"/>
      <c r="C98" s="174"/>
      <c r="D98" s="174"/>
      <c r="E98" s="174"/>
    </row>
    <row r="99" spans="2:5" ht="20.25" customHeight="1">
      <c r="B99" s="174"/>
      <c r="C99" s="174"/>
      <c r="D99" s="174"/>
      <c r="E99" s="174"/>
    </row>
    <row r="100" spans="2:5" ht="20.25" customHeight="1" thickBot="1">
      <c r="B100" s="174"/>
      <c r="C100" s="174"/>
      <c r="D100" s="174"/>
      <c r="E100" s="174"/>
    </row>
    <row r="101" spans="2:22" ht="20.25" customHeight="1" thickBot="1">
      <c r="B101" s="174"/>
      <c r="C101" s="174"/>
      <c r="D101" s="174"/>
      <c r="E101" s="174"/>
      <c r="P101" s="177" t="s">
        <v>6</v>
      </c>
      <c r="Q101" s="178"/>
      <c r="R101" s="178"/>
      <c r="S101" s="178"/>
      <c r="T101" s="179"/>
      <c r="U101" s="183" t="s">
        <v>19</v>
      </c>
      <c r="V101" s="184"/>
    </row>
    <row r="102" spans="2:22" ht="20.25" customHeight="1">
      <c r="B102" s="176"/>
      <c r="C102" s="176"/>
      <c r="D102" s="176"/>
      <c r="E102" s="176"/>
      <c r="P102" s="180">
        <f>DATE(O46,1,1)</f>
        <v>45658</v>
      </c>
      <c r="Q102" s="181"/>
      <c r="R102" s="181"/>
      <c r="S102" s="181"/>
      <c r="T102" s="182"/>
      <c r="U102" s="152">
        <f aca="true" t="shared" si="31" ref="U102:U116">WEEKDAY(P102)</f>
        <v>4</v>
      </c>
      <c r="V102" s="153"/>
    </row>
    <row r="103" spans="16:39" ht="20.25" customHeight="1">
      <c r="P103" s="15">
        <f>DATE(YEAR(Q103),1,1)+14-WEEKDAY(DATE(YEAR(Q103),1,1),3)-7*NOT(WEEKDAY(DATE(YEAR(Q103),1,1),3))</f>
        <v>45670</v>
      </c>
      <c r="Q103" s="15">
        <f ca="1">IF($G$3="",IF(MONTH(TODAY())&gt;1,DATE(YEAR(TODAY())+1,1,1),DATE(YEAR(TODAY()),1,1)),DATE($G$3,1,1))</f>
        <v>45658</v>
      </c>
      <c r="R103" s="15"/>
      <c r="S103" s="15"/>
      <c r="T103" s="16"/>
      <c r="U103" s="146">
        <f t="shared" si="31"/>
        <v>2</v>
      </c>
      <c r="V103" s="147"/>
      <c r="X103" s="20" t="s">
        <v>25</v>
      </c>
      <c r="Z103" s="141" t="s">
        <v>40</v>
      </c>
      <c r="AA103" s="141"/>
      <c r="AB103" s="141"/>
      <c r="AC103" s="141"/>
      <c r="AD103" s="141"/>
      <c r="AE103" s="141"/>
      <c r="AF103" s="141"/>
      <c r="AG103" s="141"/>
      <c r="AH103" s="141"/>
      <c r="AI103" s="141"/>
      <c r="AJ103" s="141"/>
      <c r="AK103" s="175">
        <f>IF(WEEKDAY(P103)=5,P103-3,IF(WEEKDAY(P103)=1,P103+1,IF(WEEKDAY(P103)=3,P103-1,IF(WEEKDAY(P103)=4,P103-2,IF(WEEKDAY(P103)=6,P103-4,IF(WEEKDAY(P103)=7,P103-5,P103))))))</f>
        <v>45670</v>
      </c>
      <c r="AL103" s="175"/>
      <c r="AM103" s="21" t="s">
        <v>24</v>
      </c>
    </row>
    <row r="104" spans="16:22" ht="20.25" customHeight="1">
      <c r="P104" s="150">
        <f>DATE(O48,2,11)</f>
        <v>45333</v>
      </c>
      <c r="Q104" s="150"/>
      <c r="R104" s="150"/>
      <c r="S104" s="150"/>
      <c r="T104" s="151"/>
      <c r="U104" s="146">
        <f t="shared" si="31"/>
        <v>1</v>
      </c>
      <c r="V104" s="147"/>
    </row>
    <row r="105" spans="16:22" ht="20.25" customHeight="1">
      <c r="P105" s="150">
        <f>DATE(O49,3,INT(20.8431+0.242194*(O49-1980)-INT((O49-1980)/4)))</f>
        <v>45371</v>
      </c>
      <c r="Q105" s="150"/>
      <c r="R105" s="150"/>
      <c r="S105" s="150"/>
      <c r="T105" s="151"/>
      <c r="U105" s="146">
        <f t="shared" si="31"/>
        <v>4</v>
      </c>
      <c r="V105" s="147"/>
    </row>
    <row r="106" spans="16:22" ht="20.25" customHeight="1">
      <c r="P106" s="150">
        <f>DATE(O50,4,29)</f>
        <v>45411</v>
      </c>
      <c r="Q106" s="150"/>
      <c r="R106" s="150"/>
      <c r="S106" s="150"/>
      <c r="T106" s="151"/>
      <c r="U106" s="146">
        <f t="shared" si="31"/>
        <v>2</v>
      </c>
      <c r="V106" s="147"/>
    </row>
    <row r="107" spans="16:22" ht="20.25" customHeight="1">
      <c r="P107" s="150">
        <f>IF(OR(WEEKDAY(DATE(O51,5,3))=1,WEEKDAY(DATE(O51,5,4))=1),"",DATE(O51,5,4))</f>
        <v>45416</v>
      </c>
      <c r="Q107" s="150"/>
      <c r="R107" s="150"/>
      <c r="S107" s="150"/>
      <c r="T107" s="151"/>
      <c r="U107" s="146">
        <f>IF(WEEKDAY(DATE(O51,5,4))=1,1,WEEKDAY(P107))</f>
        <v>7</v>
      </c>
      <c r="V107" s="147"/>
    </row>
    <row r="108" spans="16:22" ht="20.25" customHeight="1">
      <c r="P108" s="150">
        <f>DATE(O52,5,3)</f>
        <v>45415</v>
      </c>
      <c r="Q108" s="150"/>
      <c r="R108" s="150"/>
      <c r="S108" s="150"/>
      <c r="T108" s="151"/>
      <c r="U108" s="146">
        <f t="shared" si="31"/>
        <v>6</v>
      </c>
      <c r="V108" s="147"/>
    </row>
    <row r="109" spans="16:22" ht="20.25" customHeight="1">
      <c r="P109" s="150">
        <f>DATE(O53,5,5)</f>
        <v>45417</v>
      </c>
      <c r="Q109" s="150"/>
      <c r="R109" s="150"/>
      <c r="S109" s="150"/>
      <c r="T109" s="151"/>
      <c r="U109" s="146">
        <f t="shared" si="31"/>
        <v>1</v>
      </c>
      <c r="V109" s="147"/>
    </row>
    <row r="110" spans="16:23" ht="20.25" customHeight="1">
      <c r="P110" s="15">
        <f>IF(WEEKDAY(DATE(O54,MONTH(W110),DAY(1)))=2,DATE(O54,MONTH(W110),DAY(1))+14,IF(OR(WEEKDAY(DATE(O54,MONTH(W110),DAY(1)))=1,WEEKDAY(DATE(O54,MONTH(W110),DAY(1)))=3,WEEKDAY(DATE(O54,MONTH(W110),DAY(1)))=4,WEEKDAY(DATE(O54,MONTH(W110),DAY(1)))=5,WEEKDAY(DATE(O54,MONTH(W110),DAY(1)))=6,WEEKDAY(DATE(O54,MONTH(W110),DAY(1)))=7),DATE(O54,MONTH(W110),DAY(1)))+(22-WEEKDAY(DATE(O54,MONTH(W110),DAY(1)),2)))</f>
        <v>45488</v>
      </c>
      <c r="Q110" s="15"/>
      <c r="R110" s="15"/>
      <c r="S110" s="15"/>
      <c r="T110" s="16"/>
      <c r="U110" s="146">
        <f t="shared" si="31"/>
        <v>2</v>
      </c>
      <c r="V110" s="147"/>
      <c r="W110" s="28">
        <v>37451</v>
      </c>
    </row>
    <row r="111" spans="16:23" ht="20.25" customHeight="1">
      <c r="P111" s="15">
        <f>IF(WEEKDAY(DATE(O55,MONTH(W111),DAY(1)))=2,DATE(O55,MONTH(W111),DAY(1))+14,IF(OR(WEEKDAY(DATE(O55,MONTH(W111),DAY(1)))=1,WEEKDAY(DATE(O55,MONTH(W111),DAY(1)))=3,WEEKDAY(DATE(O55,MONTH(W111),DAY(1)))=4,WEEKDAY(DATE(O55,MONTH(W111),DAY(1)))=5,WEEKDAY(DATE(O55,MONTH(W111),DAY(1)))=6,WEEKDAY(DATE(O55,MONTH(W111),DAY(1)))=7),DATE(O55,MONTH(W111),DAY(1)))+(22-WEEKDAY(DATE(O55,MONTH(W111),DAY(1)),2)))</f>
        <v>45551</v>
      </c>
      <c r="Q111" s="15"/>
      <c r="R111" s="15"/>
      <c r="S111" s="15"/>
      <c r="T111" s="16"/>
      <c r="U111" s="146">
        <f t="shared" si="31"/>
        <v>2</v>
      </c>
      <c r="V111" s="147"/>
      <c r="W111" s="28">
        <v>37513</v>
      </c>
    </row>
    <row r="112" spans="16:22" ht="20.25" customHeight="1">
      <c r="P112" s="150">
        <f>DATE(O57,9,INT(23.2488+0.242194*(O57-1980)-INT((O57-1980)/4)))</f>
        <v>45557</v>
      </c>
      <c r="Q112" s="150"/>
      <c r="R112" s="150"/>
      <c r="S112" s="150"/>
      <c r="T112" s="151"/>
      <c r="U112" s="146">
        <f t="shared" si="31"/>
        <v>1</v>
      </c>
      <c r="V112" s="147"/>
    </row>
    <row r="113" spans="16:22" ht="20.25" customHeight="1">
      <c r="P113" s="150">
        <f>DATE(O58,10,1)+14-WEEKDAY(DATE(O58,10,1),3)-7*NOT(WEEKDAY(DATE(O58,10,1),3))</f>
        <v>45579</v>
      </c>
      <c r="Q113" s="150"/>
      <c r="R113" s="150"/>
      <c r="S113" s="150"/>
      <c r="T113" s="151"/>
      <c r="U113" s="146">
        <f t="shared" si="31"/>
        <v>2</v>
      </c>
      <c r="V113" s="147"/>
    </row>
    <row r="114" spans="16:22" ht="20.25" customHeight="1">
      <c r="P114" s="150">
        <f>DATE(O59,11,3)</f>
        <v>45599</v>
      </c>
      <c r="Q114" s="150"/>
      <c r="R114" s="150"/>
      <c r="S114" s="150"/>
      <c r="T114" s="151"/>
      <c r="U114" s="146">
        <f t="shared" si="31"/>
        <v>1</v>
      </c>
      <c r="V114" s="147"/>
    </row>
    <row r="115" spans="16:22" ht="20.25" customHeight="1">
      <c r="P115" s="150">
        <f>DATE(O60,11,23)</f>
        <v>45619</v>
      </c>
      <c r="Q115" s="150"/>
      <c r="R115" s="150"/>
      <c r="S115" s="150"/>
      <c r="T115" s="151"/>
      <c r="U115" s="146">
        <f t="shared" si="31"/>
        <v>7</v>
      </c>
      <c r="V115" s="147"/>
    </row>
    <row r="116" spans="16:22" ht="20.25" customHeight="1" thickBot="1">
      <c r="P116" s="159">
        <f>DATE(O61,12,23)</f>
        <v>45649</v>
      </c>
      <c r="Q116" s="159"/>
      <c r="R116" s="159"/>
      <c r="S116" s="159"/>
      <c r="T116" s="160"/>
      <c r="U116" s="148">
        <f t="shared" si="31"/>
        <v>2</v>
      </c>
      <c r="V116" s="149"/>
    </row>
    <row r="117" spans="1:26" ht="20.25" customHeight="1">
      <c r="A117" s="18" t="s">
        <v>23</v>
      </c>
      <c r="Z117" s="18" t="s">
        <v>22</v>
      </c>
    </row>
    <row r="118" ht="20.25" customHeight="1">
      <c r="O118" s="19" t="s">
        <v>23</v>
      </c>
    </row>
  </sheetData>
  <sheetProtection/>
  <mergeCells count="124">
    <mergeCell ref="AK103:AL103"/>
    <mergeCell ref="B99:E99"/>
    <mergeCell ref="B100:E100"/>
    <mergeCell ref="B101:E101"/>
    <mergeCell ref="B102:E102"/>
    <mergeCell ref="P101:T101"/>
    <mergeCell ref="P102:T102"/>
    <mergeCell ref="U101:V101"/>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79:E79"/>
    <mergeCell ref="B80:E80"/>
    <mergeCell ref="B81:E81"/>
    <mergeCell ref="B82:E82"/>
    <mergeCell ref="B75:E75"/>
    <mergeCell ref="B76:E76"/>
    <mergeCell ref="B77:E77"/>
    <mergeCell ref="B78:E78"/>
    <mergeCell ref="B71:E71"/>
    <mergeCell ref="B72:E72"/>
    <mergeCell ref="B73:E73"/>
    <mergeCell ref="B74:E74"/>
    <mergeCell ref="B67:E67"/>
    <mergeCell ref="B68:E68"/>
    <mergeCell ref="B69:E69"/>
    <mergeCell ref="B70:E70"/>
    <mergeCell ref="B63:E63"/>
    <mergeCell ref="B64:E64"/>
    <mergeCell ref="B65:E65"/>
    <mergeCell ref="B66:E66"/>
    <mergeCell ref="B58:E58"/>
    <mergeCell ref="B59:E59"/>
    <mergeCell ref="B61:E61"/>
    <mergeCell ref="B62:E62"/>
    <mergeCell ref="B60:E60"/>
    <mergeCell ref="B54:E54"/>
    <mergeCell ref="B55:E55"/>
    <mergeCell ref="B57:E57"/>
    <mergeCell ref="B56:E56"/>
    <mergeCell ref="B5:H5"/>
    <mergeCell ref="B45:E45"/>
    <mergeCell ref="B46:E46"/>
    <mergeCell ref="B47:E47"/>
    <mergeCell ref="B48:E48"/>
    <mergeCell ref="B50:E50"/>
    <mergeCell ref="J6:P6"/>
    <mergeCell ref="R6:X6"/>
    <mergeCell ref="B15:H15"/>
    <mergeCell ref="J15:P15"/>
    <mergeCell ref="B6:H6"/>
    <mergeCell ref="AA3:AB3"/>
    <mergeCell ref="B51:E51"/>
    <mergeCell ref="B52:E52"/>
    <mergeCell ref="F61:M61"/>
    <mergeCell ref="F60:M60"/>
    <mergeCell ref="F59:M59"/>
    <mergeCell ref="F58:M58"/>
    <mergeCell ref="F57:M57"/>
    <mergeCell ref="F55:M55"/>
    <mergeCell ref="B53:E53"/>
    <mergeCell ref="F54:M54"/>
    <mergeCell ref="F53:M53"/>
    <mergeCell ref="F56:M56"/>
    <mergeCell ref="F52:M52"/>
    <mergeCell ref="F51:M51"/>
    <mergeCell ref="F50:M50"/>
    <mergeCell ref="F49:M49"/>
    <mergeCell ref="F46:M46"/>
    <mergeCell ref="B24:H24"/>
    <mergeCell ref="J24:P24"/>
    <mergeCell ref="F45:M45"/>
    <mergeCell ref="B33:H33"/>
    <mergeCell ref="J33:P33"/>
    <mergeCell ref="B49:E49"/>
    <mergeCell ref="P104:T104"/>
    <mergeCell ref="F48:M48"/>
    <mergeCell ref="F47:M47"/>
    <mergeCell ref="P116:T116"/>
    <mergeCell ref="P109:T109"/>
    <mergeCell ref="P112:T112"/>
    <mergeCell ref="P113:T113"/>
    <mergeCell ref="P114:T114"/>
    <mergeCell ref="P115:T115"/>
    <mergeCell ref="P105:T105"/>
    <mergeCell ref="P106:T106"/>
    <mergeCell ref="P107:T107"/>
    <mergeCell ref="P108:T108"/>
    <mergeCell ref="U102:V102"/>
    <mergeCell ref="U103:V103"/>
    <mergeCell ref="U104:V104"/>
    <mergeCell ref="U105:V105"/>
    <mergeCell ref="U106:V106"/>
    <mergeCell ref="U107:V107"/>
    <mergeCell ref="U108:V108"/>
    <mergeCell ref="U116:V116"/>
    <mergeCell ref="U110:V110"/>
    <mergeCell ref="U111:V111"/>
    <mergeCell ref="U112:V112"/>
    <mergeCell ref="U113:V113"/>
    <mergeCell ref="U109:V109"/>
    <mergeCell ref="U114:V114"/>
    <mergeCell ref="U115:V115"/>
    <mergeCell ref="R24:X24"/>
    <mergeCell ref="U2:Z2"/>
    <mergeCell ref="T3:X4"/>
    <mergeCell ref="R33:X33"/>
    <mergeCell ref="Z103:AJ103"/>
    <mergeCell ref="U1:X1"/>
    <mergeCell ref="X44:AA44"/>
    <mergeCell ref="R15:X15"/>
  </mergeCells>
  <conditionalFormatting sqref="H7">
    <cfRule type="expression" priority="19" dxfId="17" stopIfTrue="1">
      <formula>AND((WEEKDAY(DATE(YEAR($A$2),MONTH($A$2),DAY($A$2)))=7),$G$2="")</formula>
    </cfRule>
    <cfRule type="expression" priority="20" dxfId="17" stopIfTrue="1">
      <formula>AND((WEEKDAY(DATE(YEAR($A$2),MONTH($A$2),DAY($A$2)))=7),YEAR($AA$2)=YEAR(TODAY()),$G$2&lt;&gt;"",OR(MONTH($A$2)=1,MONTH($A$2)=4,MONTH($A$2)=7,MONTH($A$2)=10))</formula>
    </cfRule>
  </conditionalFormatting>
  <conditionalFormatting sqref="G7">
    <cfRule type="expression" priority="21" dxfId="20" stopIfTrue="1">
      <formula>AND((WEEKDAY(DATE(YEAR($A$2),MONTH($A$2),DAY($A$2)))=6),$G$3="")</formula>
    </cfRule>
    <cfRule type="expression" priority="22" dxfId="20" stopIfTrue="1">
      <formula>AND((WEEKDAY(DATE(YEAR($A$2),MONTH($A$2),DAY($A$2)))=6),YEAR(AA3)=YEAR(TODAY()),$G$3&lt;&gt;"",OR(MONTH($A$2)=1,MONTH($A$2)=4,MONTH($A$2)=7,MONTH($A$2)=10))</formula>
    </cfRule>
  </conditionalFormatting>
  <conditionalFormatting sqref="C7">
    <cfRule type="expression" priority="23" dxfId="35" stopIfTrue="1">
      <formula>AND((WEEKDAY(DATE(YEAR($A$2),MONTH($A$2),DAY($A$2)))=2),$G$3="")</formula>
    </cfRule>
    <cfRule type="expression" priority="24" dxfId="35" stopIfTrue="1">
      <formula>AND((WEEKDAY(DATE(YEAR($A$2),MONTH($A$2),DAY($A$2)))=2),YEAR(AA3)=YEAR(TODAY()),$G$3&lt;&gt;"",OR(MONTH($A$2)=1,MONTH($A$2)=4,MONTH($A$2)=7,MONTH($A$2)=10))</formula>
    </cfRule>
  </conditionalFormatting>
  <conditionalFormatting sqref="D7">
    <cfRule type="expression" priority="25" dxfId="29" stopIfTrue="1">
      <formula>AND((WEEKDAY(DATE(YEAR($A$2),MONTH($A$2),DAY($A$2)))=3),$G$3="")</formula>
    </cfRule>
    <cfRule type="expression" priority="26" dxfId="29" stopIfTrue="1">
      <formula>AND((WEEKDAY(DATE(YEAR($A$2),MONTH($A$2),DAY($A$2)))=3),YEAR(AA3)=YEAR(TODAY()),$G$3&lt;&gt;"",OR(MONTH($A$2)=1,MONTH($A$2)=4,MONTH($A$2)=7,MONTH($A$2)=10))</formula>
    </cfRule>
  </conditionalFormatting>
  <conditionalFormatting sqref="E7">
    <cfRule type="expression" priority="27" dxfId="26" stopIfTrue="1">
      <formula>AND((WEEKDAY(DATE(YEAR($A$2),MONTH($A$2),DAY($A$2)))=4),$G$3="")</formula>
    </cfRule>
    <cfRule type="expression" priority="28" dxfId="26" stopIfTrue="1">
      <formula>AND((WEEKDAY(DATE(YEAR($A$2),MONTH($A$2),DAY($A$2)))=4),YEAR(AA3)=YEAR(TODAY()),$G$3&lt;&gt;"",OR(MONTH($A$2)=1,MONTH($A$2)=4,MONTH($A$2)=7,MONTH($A$2)=10))</formula>
    </cfRule>
  </conditionalFormatting>
  <conditionalFormatting sqref="F7">
    <cfRule type="expression" priority="29" dxfId="23" stopIfTrue="1">
      <formula>AND((WEEKDAY(DATE(YEAR($A$2),MONTH($A$2),DAY($A$2)))=5),$G$3="")</formula>
    </cfRule>
    <cfRule type="expression" priority="30" dxfId="23" stopIfTrue="1">
      <formula>AND((WEEKDAY(DATE(YEAR($A$2),MONTH($A$2),DAY($A$2)))=5),YEAR(AA3)=YEAR(TODAY()),$G$3&lt;&gt;"",OR(MONTH($A$2)=1,MONTH($A$2)=4,MONTH($A$2)=7,MONTH($A$2)=10))</formula>
    </cfRule>
  </conditionalFormatting>
  <conditionalFormatting sqref="K35:K39 C8:C12 K8:K12 S8:S12 C17:C21 K17:K21 S17:S21 C26:C30 K26:K30 S26:S30 C35:C39 S35:S39">
    <cfRule type="expression" priority="31" dxfId="35" stopIfTrue="1">
      <formula>AND(C8=TODAY(),((WEEKDAY(DATE(YEAR(C8),MONTH(C8),DAY(C8)))=2)))</formula>
    </cfRule>
    <cfRule type="expression" priority="32" dxfId="326" stopIfTrue="1">
      <formula>(C8&lt;TODAY())</formula>
    </cfRule>
    <cfRule type="expression" priority="33" dxfId="327" stopIfTrue="1">
      <formula>AND(COUNTIF($B$46:$B$100,C8)=1,C8&gt;=TODAY())</formula>
    </cfRule>
  </conditionalFormatting>
  <conditionalFormatting sqref="T35:T40 D8:D13 L8:L13 D17:D22 L35:L40 L17:L22 T17:T22 D26:D31 L26:L31 T26:T31 D35:D40 T8:T13">
    <cfRule type="expression" priority="34" dxfId="29" stopIfTrue="1">
      <formula>AND(D8=TODAY(),((WEEKDAY(DATE(YEAR(D8),MONTH(D8),DAY(D8)))=3)))</formula>
    </cfRule>
    <cfRule type="expression" priority="35" dxfId="326" stopIfTrue="1">
      <formula>(D8&lt;TODAY())</formula>
    </cfRule>
    <cfRule type="expression" priority="36" dxfId="327" stopIfTrue="1">
      <formula>AND(COUNTIF($B$46:$B$100,D8)=1,D8&gt;=TODAY())</formula>
    </cfRule>
  </conditionalFormatting>
  <conditionalFormatting sqref="U35:U40 E8:E13 M8:M13 E17:E22 M35:M40 M17:M22 U17:U22 E26:E31 M26:M31 U26:U31 E35:E40 U8:U13">
    <cfRule type="expression" priority="37" dxfId="26" stopIfTrue="1">
      <formula>AND(E8=TODAY(),((WEEKDAY(DATE(YEAR(E8),MONTH(E8),DAY(E8)))=4)))</formula>
    </cfRule>
    <cfRule type="expression" priority="38" dxfId="326" stopIfTrue="1">
      <formula>(E8&lt;TODAY())</formula>
    </cfRule>
    <cfRule type="expression" priority="39" dxfId="327" stopIfTrue="1">
      <formula>AND(COUNTIF($B$46:$B$100,E8)=1,E8&gt;=TODAY())</formula>
    </cfRule>
  </conditionalFormatting>
  <conditionalFormatting sqref="V35:V40 F8:F13 N8:N13 F17:F22 N35:N40 N17:N22 V17:V22 F26:F31 N26:N31 V26:V31 F35:F40 V8:V13">
    <cfRule type="expression" priority="40" dxfId="23" stopIfTrue="1">
      <formula>AND(F8=TODAY(),((WEEKDAY(DATE(YEAR(F8),MONTH(F8),DAY(F8)))=5)))</formula>
    </cfRule>
    <cfRule type="expression" priority="41" dxfId="326" stopIfTrue="1">
      <formula>(F8&lt;TODAY())</formula>
    </cfRule>
    <cfRule type="expression" priority="42" dxfId="327" stopIfTrue="1">
      <formula>AND(COUNTIF($B$46:$B$100,F8)=1,F8&gt;=TODAY())</formula>
    </cfRule>
  </conditionalFormatting>
  <conditionalFormatting sqref="W35:W40 G8:G13 O8:O13 G17:G22 O35:O40 O17:O22 W17:W22 G26:G31 O26:O31 W26:W31 G35:G40 W8:W13">
    <cfRule type="expression" priority="43" dxfId="20" stopIfTrue="1">
      <formula>AND(G8=TODAY(),((WEEKDAY(DATE(YEAR(G8),MONTH(G8),DAY(G8)))=6)))</formula>
    </cfRule>
    <cfRule type="expression" priority="44" dxfId="326" stopIfTrue="1">
      <formula>(G8&lt;TODAY())</formula>
    </cfRule>
    <cfRule type="expression" priority="45" dxfId="327" stopIfTrue="1">
      <formula>AND(COUNTIF($B$46:$B$100,G8)=1,G8&gt;=TODAY())</formula>
    </cfRule>
  </conditionalFormatting>
  <conditionalFormatting sqref="J35:J39 B8:B12 J8:J12 R8:R12 B17:B21 J17:J21 R17:R21 B26:B30 J26:J30 R26:R30 B35:B39 R35:R39">
    <cfRule type="expression" priority="46" dxfId="32" stopIfTrue="1">
      <formula>AND(B8=TODAY(),((WEEKDAY(DATE(YEAR(B8),MONTH(B8),DAY(B8)))=1)))</formula>
    </cfRule>
    <cfRule type="expression" priority="47" dxfId="326" stopIfTrue="1">
      <formula>(B8&lt;TODAY())</formula>
    </cfRule>
    <cfRule type="expression" priority="48" dxfId="327" stopIfTrue="1">
      <formula>AND(COUNTIF($B$46:$B$100,B8)&gt;=1,B8&gt;=TODAY())</formula>
    </cfRule>
  </conditionalFormatting>
  <conditionalFormatting sqref="X35:X40 H8:H12 P8:P13 H17:H22 P35:P40 P17:P22 X17:X22 H26:H31 P26:P31 X26:X31 H35:H40 X8:X13">
    <cfRule type="expression" priority="49" dxfId="17" stopIfTrue="1">
      <formula>AND(H8=TODAY(),((WEEKDAY(DATE(YEAR(H8),MONTH(H8),DAY(H8)))=7)))</formula>
    </cfRule>
    <cfRule type="expression" priority="50" dxfId="326" stopIfTrue="1">
      <formula>(H8&lt;TODAY())</formula>
    </cfRule>
    <cfRule type="expression" priority="51" dxfId="327" stopIfTrue="1">
      <formula>AND(COUNTIF($B$46:$B$100,H8)&gt;=1,H8&gt;=TODAY())</formula>
    </cfRule>
  </conditionalFormatting>
  <conditionalFormatting sqref="B62:E101 B46:B61">
    <cfRule type="expression" priority="52" dxfId="326" stopIfTrue="1">
      <formula>($B46&lt;TODAY())</formula>
    </cfRule>
  </conditionalFormatting>
  <conditionalFormatting sqref="K7">
    <cfRule type="expression" priority="53" dxfId="35" stopIfTrue="1">
      <formula>AND((WEEKDAY(DATE(YEAR($A$2),MONTH($A$2),DAY($A$2)))=2),YEAR($AA$2)=YEAR(TODAY()),$G$2&lt;&gt;"",OR(MONTH($A$2)=2,MONTH($A$2)=5,MONTH($A$2)=8,MONTH($A$2)=11))</formula>
    </cfRule>
  </conditionalFormatting>
  <conditionalFormatting sqref="L7">
    <cfRule type="expression" priority="54" dxfId="29" stopIfTrue="1">
      <formula>AND((WEEKDAY(DATE(YEAR($A$2),MONTH($A$2),DAY($A$2)))=3),YEAR($AA$3)=YEAR(TODAY()),$G$3&lt;&gt;"",OR(MONTH($A$2)=2,MONTH($A$2)=5,MONTH($A$2)=8,MONTH($A$2)=11))</formula>
    </cfRule>
  </conditionalFormatting>
  <conditionalFormatting sqref="M7">
    <cfRule type="expression" priority="55" dxfId="26" stopIfTrue="1">
      <formula>AND((WEEKDAY(DATE(YEAR($A$2),MONTH($A$2),DAY($A$2)))=4),YEAR($AA$3)=YEAR(TODAY()),$G$3&lt;&gt;"",OR(MONTH($A$2)=2,MONTH($A$2)=5,MONTH($A$2)=8,MONTH($A$2)=11))</formula>
    </cfRule>
  </conditionalFormatting>
  <conditionalFormatting sqref="N7">
    <cfRule type="expression" priority="56" dxfId="23" stopIfTrue="1">
      <formula>AND((WEEKDAY(DATE(YEAR($A$2),MONTH($A$2),DAY($A$2)))=5),YEAR($AA$3)=YEAR(TODAY()),$G$3&lt;&gt;"",OR(MONTH($A$2)=2,MONTH($A$2)=5,MONTH($A$2)=8,MONTH($A$2)=11))</formula>
    </cfRule>
  </conditionalFormatting>
  <conditionalFormatting sqref="O7">
    <cfRule type="expression" priority="57" dxfId="20" stopIfTrue="1">
      <formula>AND((WEEKDAY(DATE(YEAR($A$2),MONTH($A$2),DAY($A$2)))=6),YEAR($AA$3)=YEAR(TODAY()),$G$3&lt;&gt;"",OR(MONTH($A$2)=2,MONTH($A$2)=5,MONTH($A$2)=8,MONTH($A$2)=11))</formula>
    </cfRule>
  </conditionalFormatting>
  <conditionalFormatting sqref="P7">
    <cfRule type="expression" priority="58" dxfId="17" stopIfTrue="1">
      <formula>AND((WEEKDAY(DATE(YEAR($A$2),MONTH($A$2),DAY($A$2)))=7),YEAR($AA$3)=YEAR(TODAY()),$G$3&lt;&gt;"",OR(MONTH($A$2)=2,MONTH($A$2)=5,MONTH($A$2)=8,MONTH($A$2)=11))</formula>
    </cfRule>
  </conditionalFormatting>
  <conditionalFormatting sqref="S7">
    <cfRule type="expression" priority="59" dxfId="35" stopIfTrue="1">
      <formula>AND((WEEKDAY(DATE(YEAR($A$2),MONTH($A$2),DAY($A$2)))=2),YEAR($AA$3)=YEAR(TODAY()),$G$3&lt;&gt;"",OR(MONTH($A$2)=3,MONTH($A$2)=6,MONTH($A$2)=9,MONTH($A$2)=12))</formula>
    </cfRule>
  </conditionalFormatting>
  <conditionalFormatting sqref="T7">
    <cfRule type="expression" priority="60" dxfId="29" stopIfTrue="1">
      <formula>AND((WEEKDAY(DATE(YEAR($A$2),MONTH($A$2),DAY($A$2)))=3),YEAR($AA$3)=YEAR(TODAY()),$G$3&lt;&gt;"",OR(MONTH($A$2)=3,MONTH($A$2)=6,MONTH($A$2)=9,MONTH($A$2)=12))</formula>
    </cfRule>
  </conditionalFormatting>
  <conditionalFormatting sqref="U7">
    <cfRule type="expression" priority="61" dxfId="26" stopIfTrue="1">
      <formula>AND((WEEKDAY(DATE(YEAR($A$2),MONTH($A$2),DAY($A$2)))=4),YEAR($AA$3)=YEAR(TODAY()),$G$3&lt;&gt;"",OR(MONTH($A$2)=3,MONTH($A$2)=6,MONTH($A$2)=9,MONTH($A$2)=12))</formula>
    </cfRule>
  </conditionalFormatting>
  <conditionalFormatting sqref="V7">
    <cfRule type="expression" priority="62" dxfId="23" stopIfTrue="1">
      <formula>AND((WEEKDAY(DATE(YEAR($A$2),MONTH($A$2),DAY($A$2)))=5),YEAR($AA$3)=YEAR(TODAY()),$G$3&lt;&gt;"",OR(MONTH($A$2)=3,MONTH($A$2)=6,MONTH($A$2)=9,MONTH($A$2)=12))</formula>
    </cfRule>
  </conditionalFormatting>
  <conditionalFormatting sqref="W7">
    <cfRule type="expression" priority="63" dxfId="20" stopIfTrue="1">
      <formula>AND((WEEKDAY(DATE(YEAR($A$2),MONTH($A$2),DAY($A$2)))=6),YEAR($AA$3)=YEAR(TODAY()),$G$3&lt;&gt;"",OR(MONTH($A$2)=3,MONTH($A$2)=6,MONTH($A$2)=9,MONTH($A$2)=12))</formula>
    </cfRule>
  </conditionalFormatting>
  <conditionalFormatting sqref="X7">
    <cfRule type="expression" priority="64" dxfId="17" stopIfTrue="1">
      <formula>AND((WEEKDAY(DATE(YEAR($A$2),MONTH($A$2),DAY($A$2)))=7),YEAR($AA$3)=YEAR(TODAY()),$G$3&lt;&gt;"",OR(MONTH($A$2)=3,MONTH($A$2)=6,MONTH($A$2)=9,MONTH($A$2)=12))</formula>
    </cfRule>
  </conditionalFormatting>
  <conditionalFormatting sqref="C16">
    <cfRule type="expression" priority="65" dxfId="35" stopIfTrue="1">
      <formula>AND((WEEKDAY(DATE(YEAR($A$2),MONTH($A$2),DAY($A$2)))=2),YEAR($AA$3)=YEAR(TODAY()),$G$3&lt;&gt;"",MONTH($A$2)=4)</formula>
    </cfRule>
  </conditionalFormatting>
  <conditionalFormatting sqref="D16">
    <cfRule type="expression" priority="66" dxfId="29" stopIfTrue="1">
      <formula>AND((WEEKDAY(DATE(YEAR($A$2),MONTH($A$2),DAY($A$2)))=3),YEAR($AA$3)=YEAR(TODAY()),$G$3&lt;&gt;"",MONTH($A$2)=4)</formula>
    </cfRule>
  </conditionalFormatting>
  <conditionalFormatting sqref="E16">
    <cfRule type="expression" priority="67" dxfId="26" stopIfTrue="1">
      <formula>AND((WEEKDAY(DATE(YEAR($A$2),MONTH($A$2),DAY($A$2)))=4),YEAR($AA$3)=YEAR(TODAY()),$G$3&lt;&gt;"",MONTH($A$2)=4)</formula>
    </cfRule>
  </conditionalFormatting>
  <conditionalFormatting sqref="F16">
    <cfRule type="expression" priority="68" dxfId="23" stopIfTrue="1">
      <formula>AND((WEEKDAY(DATE(YEAR($A$2),MONTH($A$2),DAY($A$2)))=5),YEAR($AA$3)=YEAR(TODAY()),$G$3&lt;&gt;"",MONTH($A$2)=4)</formula>
    </cfRule>
  </conditionalFormatting>
  <conditionalFormatting sqref="G16">
    <cfRule type="expression" priority="69" dxfId="20" stopIfTrue="1">
      <formula>AND((WEEKDAY(DATE(YEAR($A$2),MONTH($A$2),DAY($A$2)))=6),YEAR($AA$3)=YEAR(TODAY()),$G$3&lt;&gt;"",MONTH($A$2)=4)</formula>
    </cfRule>
  </conditionalFormatting>
  <conditionalFormatting sqref="H16">
    <cfRule type="expression" priority="70" dxfId="17" stopIfTrue="1">
      <formula>AND((WEEKDAY(DATE(YEAR($A$2),MONTH($A$2),DAY($A$2)))=7),YEAR($AA$3)=YEAR(TODAY()),$G$3&lt;&gt;"",MONTH($A$2)=4)</formula>
    </cfRule>
  </conditionalFormatting>
  <conditionalFormatting sqref="K16">
    <cfRule type="expression" priority="71" dxfId="35" stopIfTrue="1">
      <formula>AND((WEEKDAY(DATE(YEAR($A$2),MONTH($A$2),DAY($A$2)))=2),YEAR($AA$3)=YEAR(TODAY()),$G$3&lt;&gt;"",MONTH($A$2)=5)</formula>
    </cfRule>
  </conditionalFormatting>
  <conditionalFormatting sqref="L16">
    <cfRule type="expression" priority="72" dxfId="29" stopIfTrue="1">
      <formula>AND((WEEKDAY(DATE(YEAR($A$2),MONTH($A$2),DAY($A$2)))=3),YEAR($AA$3)=YEAR(TODAY()),$G$3&lt;&gt;"",MONTH($A$2)=5)</formula>
    </cfRule>
  </conditionalFormatting>
  <conditionalFormatting sqref="M16">
    <cfRule type="expression" priority="73" dxfId="26" stopIfTrue="1">
      <formula>AND((WEEKDAY(DATE(YEAR($A$2),MONTH($A$2),DAY($A$2)))=4),YEAR($AA$3)=YEAR(TODAY()),$G$3&lt;&gt;"",MONTH($A$2)=5)</formula>
    </cfRule>
  </conditionalFormatting>
  <conditionalFormatting sqref="N16">
    <cfRule type="expression" priority="74" dxfId="23" stopIfTrue="1">
      <formula>AND((WEEKDAY(DATE(YEAR($A$2),MONTH($A$2),DAY($A$2)))=5),YEAR($AA$3)=YEAR(TODAY()),$G$3&lt;&gt;"",MONTH($A$2)=5)</formula>
    </cfRule>
  </conditionalFormatting>
  <conditionalFormatting sqref="O16">
    <cfRule type="expression" priority="75" dxfId="20" stopIfTrue="1">
      <formula>AND((WEEKDAY(DATE(YEAR($A$2),MONTH($A$2),DAY($A$2)))=6),YEAR($AA$3)=YEAR(TODAY()),$G$3&lt;&gt;"",MONTH($A$2)=5)</formula>
    </cfRule>
  </conditionalFormatting>
  <conditionalFormatting sqref="P16">
    <cfRule type="expression" priority="76" dxfId="17" stopIfTrue="1">
      <formula>AND((WEEKDAY(DATE(YEAR($A$2),MONTH($A$2),DAY($A$2)))=7),YEAR($AA$3)=YEAR(TODAY()),$G$3&lt;&gt;"",MONTH($A$2)=5)</formula>
    </cfRule>
  </conditionalFormatting>
  <conditionalFormatting sqref="S16">
    <cfRule type="expression" priority="77" dxfId="35" stopIfTrue="1">
      <formula>AND((WEEKDAY(DATE(YEAR($A$2),MONTH($A$2),DAY($A$2)))=2),YEAR($AA$3)=YEAR(TODAY()),$G$3&lt;&gt;"",MONTH($A$2)=6)</formula>
    </cfRule>
  </conditionalFormatting>
  <conditionalFormatting sqref="T16">
    <cfRule type="expression" priority="78" dxfId="29" stopIfTrue="1">
      <formula>AND((WEEKDAY(DATE(YEAR($A$2),MONTH($A$2),DAY($A$2)))=3),YEAR($AA$3)=YEAR(TODAY()),$G$3&lt;&gt;"",MONTH($A$2)=6)</formula>
    </cfRule>
  </conditionalFormatting>
  <conditionalFormatting sqref="U16">
    <cfRule type="expression" priority="79" dxfId="26" stopIfTrue="1">
      <formula>AND((WEEKDAY(DATE(YEAR($A$2),MONTH($A$2),DAY($A$2)))=4),YEAR($AA$3)=YEAR(TODAY()),$G$3&lt;&gt;"",MONTH($A$2)=6)</formula>
    </cfRule>
  </conditionalFormatting>
  <conditionalFormatting sqref="V16">
    <cfRule type="expression" priority="80" dxfId="23" stopIfTrue="1">
      <formula>AND((WEEKDAY(DATE(YEAR($A$2),MONTH($A$2),DAY($A$2)))=5),YEAR($AA$3)=YEAR(TODAY()),$G$3&lt;&gt;"",MONTH($A$2)=6)</formula>
    </cfRule>
  </conditionalFormatting>
  <conditionalFormatting sqref="W16">
    <cfRule type="expression" priority="81" dxfId="20" stopIfTrue="1">
      <formula>AND((WEEKDAY(DATE(YEAR($A$2),MONTH($A$2),DAY($A$2)))=6),YEAR($AA$3)=YEAR(TODAY()),$G$3&lt;&gt;"",MONTH($A$2)=6)</formula>
    </cfRule>
  </conditionalFormatting>
  <conditionalFormatting sqref="X16">
    <cfRule type="expression" priority="82" dxfId="17" stopIfTrue="1">
      <formula>AND((WEEKDAY(DATE(YEAR($A$2),MONTH($A$2),DAY($A$2)))=7),YEAR($AA$3)=YEAR(TODAY()),$G$3&lt;&gt;"",MONTH($A$2)=6)</formula>
    </cfRule>
  </conditionalFormatting>
  <conditionalFormatting sqref="C25">
    <cfRule type="expression" priority="83" dxfId="35" stopIfTrue="1">
      <formula>AND((WEEKDAY(DATE(YEAR($A$2),MONTH($A$2),DAY($A$2)))=2),YEAR($AA$3)=YEAR(TODAY()),$G$3&lt;&gt;"",MONTH($A$2)=7)</formula>
    </cfRule>
  </conditionalFormatting>
  <conditionalFormatting sqref="D25">
    <cfRule type="expression" priority="84" dxfId="29" stopIfTrue="1">
      <formula>AND((WEEKDAY(DATE(YEAR($A$2),MONTH($A$2),DAY($A$2)))=3),YEAR($AA$3)=YEAR(TODAY()),$G$3&lt;&gt;"",MONTH($A$2)=7)</formula>
    </cfRule>
  </conditionalFormatting>
  <conditionalFormatting sqref="E25">
    <cfRule type="expression" priority="85" dxfId="26" stopIfTrue="1">
      <formula>AND((WEEKDAY(DATE(YEAR($A$2),MONTH($A$2),DAY($A$2)))=4),YEAR($AA$3)=YEAR(TODAY()),$G$3&lt;&gt;"",MONTH($A$2)=7)</formula>
    </cfRule>
  </conditionalFormatting>
  <conditionalFormatting sqref="F25">
    <cfRule type="expression" priority="86" dxfId="23" stopIfTrue="1">
      <formula>AND((WEEKDAY(DATE(YEAR($A$2),MONTH($A$2),DAY($A$2)))=5),YEAR($AA$3)=YEAR(TODAY()),$G$3&lt;&gt;"",MONTH($A$2)=7)</formula>
    </cfRule>
  </conditionalFormatting>
  <conditionalFormatting sqref="G25">
    <cfRule type="expression" priority="87" dxfId="20" stopIfTrue="1">
      <formula>AND((WEEKDAY(DATE(YEAR($A$2),MONTH($A$2),DAY($A$2)))=6),YEAR($AA$3)=YEAR(TODAY()),$G$3&lt;&gt;"",MONTH($A$2)=7)</formula>
    </cfRule>
  </conditionalFormatting>
  <conditionalFormatting sqref="H25">
    <cfRule type="expression" priority="88" dxfId="17" stopIfTrue="1">
      <formula>AND((WEEKDAY(DATE(YEAR($A$2),MONTH($A$2),DAY($A$2)))=7),YEAR($AA$3)=YEAR(TODAY()),$G$3&lt;&gt;"",MONTH($A$2)=7)</formula>
    </cfRule>
  </conditionalFormatting>
  <conditionalFormatting sqref="K25">
    <cfRule type="expression" priority="89" dxfId="35" stopIfTrue="1">
      <formula>AND((WEEKDAY(DATE(YEAR($A$2),MONTH($A$2),DAY($A$2)))=2),YEAR($AA$3)=YEAR(TODAY()),$G$3&lt;&gt;"",MONTH($A$2)=8)</formula>
    </cfRule>
  </conditionalFormatting>
  <conditionalFormatting sqref="L25">
    <cfRule type="expression" priority="90" dxfId="29" stopIfTrue="1">
      <formula>AND((WEEKDAY(DATE(YEAR($A$2),MONTH($A$2),DAY($A$2)))=3),YEAR($AA$3)=YEAR(TODAY()),$G$3&lt;&gt;"",MONTH($A$2)=8)</formula>
    </cfRule>
  </conditionalFormatting>
  <conditionalFormatting sqref="M25">
    <cfRule type="expression" priority="91" dxfId="26" stopIfTrue="1">
      <formula>AND((WEEKDAY(DATE(YEAR($A$2),MONTH($A$2),DAY($A$2)))=4),YEAR($AA$3)=YEAR(TODAY()),$G$3&lt;&gt;"",MONTH($A$2)=8)</formula>
    </cfRule>
  </conditionalFormatting>
  <conditionalFormatting sqref="N25">
    <cfRule type="expression" priority="92" dxfId="23" stopIfTrue="1">
      <formula>AND((WEEKDAY(DATE(YEAR($A$2),MONTH($A$2),DAY($A$2)))=5),YEAR($AA$3)=YEAR(TODAY()),$G$3&lt;&gt;"",MONTH($A$2)=8)</formula>
    </cfRule>
  </conditionalFormatting>
  <conditionalFormatting sqref="O25">
    <cfRule type="expression" priority="93" dxfId="20" stopIfTrue="1">
      <formula>AND((WEEKDAY(DATE(YEAR($A$2),MONTH($A$2),DAY($A$2)))=6),YEAR($AA$3)=YEAR(TODAY()),$G$3&lt;&gt;"",MONTH($A$2)=8)</formula>
    </cfRule>
  </conditionalFormatting>
  <conditionalFormatting sqref="P25">
    <cfRule type="expression" priority="94" dxfId="17" stopIfTrue="1">
      <formula>AND((WEEKDAY(DATE(YEAR($A$2),MONTH($A$2),DAY($A$2)))=7),YEAR($AA$3)=YEAR(TODAY()),$G$3&lt;&gt;"",MONTH($A$2)=8)</formula>
    </cfRule>
  </conditionalFormatting>
  <conditionalFormatting sqref="S25">
    <cfRule type="expression" priority="95" dxfId="35" stopIfTrue="1">
      <formula>AND((WEEKDAY(DATE(YEAR($A$2),MONTH($A$2),DAY($A$2)))=2),YEAR($AA$3)=YEAR(TODAY()),$G$3&lt;&gt;"",MONTH($A$2)=9)</formula>
    </cfRule>
  </conditionalFormatting>
  <conditionalFormatting sqref="T25">
    <cfRule type="expression" priority="96" dxfId="29" stopIfTrue="1">
      <formula>AND((WEEKDAY(DATE(YEAR($A$2),MONTH($A$2),DAY($A$2)))=3),YEAR($AA$3)=YEAR(TODAY()),$G$3&lt;&gt;"",MONTH($A$2)=9)</formula>
    </cfRule>
  </conditionalFormatting>
  <conditionalFormatting sqref="U25">
    <cfRule type="expression" priority="97" dxfId="26" stopIfTrue="1">
      <formula>AND((WEEKDAY(DATE(YEAR($A$2),MONTH($A$2),DAY($A$2)))=4),YEAR($AA$3)=YEAR(TODAY()),$G$3&lt;&gt;"",MONTH($A$2)=9)</formula>
    </cfRule>
  </conditionalFormatting>
  <conditionalFormatting sqref="V25">
    <cfRule type="expression" priority="98" dxfId="23" stopIfTrue="1">
      <formula>AND((WEEKDAY(DATE(YEAR($A$2),MONTH($A$2),DAY($A$2)))=5),YEAR($AA$3)=YEAR(TODAY()),$G$3&lt;&gt;"",MONTH($A$2)=9)</formula>
    </cfRule>
  </conditionalFormatting>
  <conditionalFormatting sqref="W25">
    <cfRule type="expression" priority="99" dxfId="20" stopIfTrue="1">
      <formula>AND((WEEKDAY(DATE(YEAR($A$2),MONTH($A$2),DAY($A$2)))=6),YEAR($AA$3)=YEAR(TODAY()),$G$3&lt;&gt;"",MONTH($A$2)=9)</formula>
    </cfRule>
  </conditionalFormatting>
  <conditionalFormatting sqref="X25">
    <cfRule type="expression" priority="100" dxfId="17" stopIfTrue="1">
      <formula>AND((WEEKDAY(DATE(YEAR($A$2),MONTH($A$2),DAY($A$2)))=7),YEAR($AA$3)=YEAR(TODAY()),$G$3&lt;&gt;"",MONTH($A$2)=9)</formula>
    </cfRule>
  </conditionalFormatting>
  <conditionalFormatting sqref="C34">
    <cfRule type="expression" priority="101" dxfId="35" stopIfTrue="1">
      <formula>AND((WEEKDAY(DATE(YEAR($A$2),MONTH($A$2),DAY($A$2)))=2),YEAR($AA$3)=YEAR(TODAY()),$G$3&lt;&gt;"",MONTH($A$2)=10)</formula>
    </cfRule>
  </conditionalFormatting>
  <conditionalFormatting sqref="D34">
    <cfRule type="expression" priority="102" dxfId="29" stopIfTrue="1">
      <formula>AND((WEEKDAY(DATE(YEAR($A$2),MONTH($A$2),DAY($A$2)))=3),YEAR($AA$3)=YEAR(TODAY()),$G$3&lt;&gt;"",MONTH($A$2)=10)</formula>
    </cfRule>
  </conditionalFormatting>
  <conditionalFormatting sqref="E34">
    <cfRule type="expression" priority="103" dxfId="26" stopIfTrue="1">
      <formula>AND((WEEKDAY(DATE(YEAR($A$2),MONTH($A$2),DAY($A$2)))=4),YEAR($AA$3)=YEAR(TODAY()),$G$3&lt;&gt;"",MONTH($A$2)=10)</formula>
    </cfRule>
  </conditionalFormatting>
  <conditionalFormatting sqref="F34">
    <cfRule type="expression" priority="104" dxfId="23" stopIfTrue="1">
      <formula>AND((WEEKDAY(DATE(YEAR($A$2),MONTH($A$2),DAY($A$2)))=5),YEAR($AA$3)=YEAR(TODAY()),$G$3&lt;&gt;"",MONTH($A$2)=10)</formula>
    </cfRule>
  </conditionalFormatting>
  <conditionalFormatting sqref="G34">
    <cfRule type="expression" priority="105" dxfId="20" stopIfTrue="1">
      <formula>AND((WEEKDAY(DATE(YEAR($A$2),MONTH($A$2),DAY($A$2)))=6),YEAR($AA$3)=YEAR(TODAY()),$G$3&lt;&gt;"",MONTH($A$2)=10)</formula>
    </cfRule>
  </conditionalFormatting>
  <conditionalFormatting sqref="H34">
    <cfRule type="expression" priority="106" dxfId="17" stopIfTrue="1">
      <formula>AND((WEEKDAY(DATE(YEAR($A$2),MONTH($A$2),DAY($A$2)))=7),YEAR($AA$3)=YEAR(TODAY()),$G$3&lt;&gt;"",MONTH($A$2)=10)</formula>
    </cfRule>
  </conditionalFormatting>
  <conditionalFormatting sqref="K34">
    <cfRule type="expression" priority="107" dxfId="35" stopIfTrue="1">
      <formula>AND((WEEKDAY(DATE(YEAR($A$2),MONTH($A$2),DAY($A$2)))=2),YEAR($AA$3)=YEAR(TODAY()),$G$3&lt;&gt;"",MONTH($A$2)=11)</formula>
    </cfRule>
  </conditionalFormatting>
  <conditionalFormatting sqref="L34">
    <cfRule type="expression" priority="108" dxfId="29" stopIfTrue="1">
      <formula>AND((WEEKDAY(DATE(YEAR($A$2),MONTH($A$2),DAY($A$2)))=3),YEAR($AA$3)=YEAR(TODAY()),$G$3&lt;&gt;"",MONTH($A$2)=11)</formula>
    </cfRule>
  </conditionalFormatting>
  <conditionalFormatting sqref="M34">
    <cfRule type="expression" priority="109" dxfId="26" stopIfTrue="1">
      <formula>AND((WEEKDAY(DATE(YEAR($A$2),MONTH($A$2),DAY($A$2)))=4),YEAR($AA$3)=YEAR(TODAY()),$G$3&lt;&gt;"",MONTH($A$2)=11)</formula>
    </cfRule>
  </conditionalFormatting>
  <conditionalFormatting sqref="N34">
    <cfRule type="expression" priority="110" dxfId="23" stopIfTrue="1">
      <formula>AND((WEEKDAY(DATE(YEAR($A$2),MONTH($A$2),DAY($A$2)))=5),YEAR($AA$3)=YEAR(TODAY()),$G$3&lt;&gt;"",MONTH($A$2)=11)</formula>
    </cfRule>
  </conditionalFormatting>
  <conditionalFormatting sqref="O34">
    <cfRule type="expression" priority="111" dxfId="20" stopIfTrue="1">
      <formula>AND((WEEKDAY(DATE(YEAR($A$2),MONTH($A$2),DAY($A$2)))=6),YEAR($AA$3)=YEAR(TODAY()),$G$3&lt;&gt;"",MONTH($A$2)=11)</formula>
    </cfRule>
  </conditionalFormatting>
  <conditionalFormatting sqref="P34">
    <cfRule type="expression" priority="112" dxfId="17" stopIfTrue="1">
      <formula>AND((WEEKDAY(DATE(YEAR($A$2),MONTH($A$2),DAY($A$2)))=7),YEAR($AA$3)=YEAR(TODAY()),$G$3&lt;&gt;"",MONTH($A$2)=11)</formula>
    </cfRule>
  </conditionalFormatting>
  <conditionalFormatting sqref="S34">
    <cfRule type="expression" priority="113" dxfId="35" stopIfTrue="1">
      <formula>AND((WEEKDAY(DATE(YEAR($A$2),MONTH($A$2),DAY($A$2)))=2),YEAR($AA$3)=YEAR(TODAY()),$G$3&lt;&gt;"",MONTH($A$2)=12)</formula>
    </cfRule>
  </conditionalFormatting>
  <conditionalFormatting sqref="T34">
    <cfRule type="expression" priority="114" dxfId="29" stopIfTrue="1">
      <formula>AND((WEEKDAY(DATE(YEAR($A$2),MONTH($A$2),DAY($A$2)))=3),YEAR($AA$3)=YEAR(TODAY()),$G$3&lt;&gt;"",MONTH($A$2)=12)</formula>
    </cfRule>
  </conditionalFormatting>
  <conditionalFormatting sqref="U34">
    <cfRule type="expression" priority="115" dxfId="26" stopIfTrue="1">
      <formula>AND((WEEKDAY(DATE(YEAR($A$2),MONTH($A$2),DAY($A$2)))=4),YEAR($AA$3)=YEAR(TODAY()),$G$3&lt;&gt;"",MONTH($A$2)=12)</formula>
    </cfRule>
  </conditionalFormatting>
  <conditionalFormatting sqref="V34">
    <cfRule type="expression" priority="116" dxfId="23" stopIfTrue="1">
      <formula>AND((WEEKDAY(DATE(YEAR($A$2),MONTH($A$2),DAY($A$2)))=5),YEAR($AA$3)=YEAR(TODAY()),$G$3&lt;&gt;"",MONTH($A$2)=12)</formula>
    </cfRule>
  </conditionalFormatting>
  <conditionalFormatting sqref="W34">
    <cfRule type="expression" priority="117" dxfId="20" stopIfTrue="1">
      <formula>AND((WEEKDAY(DATE(YEAR($A$2),MONTH($A$2),DAY($A$2)))=6),YEAR($AA$3)=YEAR(TODAY()),$G$3&lt;&gt;"",MONTH($A$2)=12)</formula>
    </cfRule>
  </conditionalFormatting>
  <conditionalFormatting sqref="X34">
    <cfRule type="expression" priority="118" dxfId="17" stopIfTrue="1">
      <formula>AND((WEEKDAY(DATE(YEAR($A$2),MONTH($A$2),DAY($A$2)))=7),YEAR($AA$3)=YEAR(TODAY()),$G$3&lt;&gt;"",MONTH($A$2)=12)</formula>
    </cfRule>
  </conditionalFormatting>
  <conditionalFormatting sqref="F46:K61">
    <cfRule type="expression" priority="119" dxfId="326" stopIfTrue="1">
      <formula>($B46&lt;TODAY())</formula>
    </cfRule>
    <cfRule type="expression" priority="120" dxfId="328" stopIfTrue="1">
      <formula>AND(DATEDIF(TODAY(),$B46,"ym")=0,DATEDIF(TODAY(),$B46,"y")=0,NOT(AND(MONTH($B46)=12,DAY($B46)=25)))</formula>
    </cfRule>
    <cfRule type="expression" priority="121" dxfId="329" stopIfTrue="1">
      <formula>AND(DATEDIF(TODAY(),$B46,"ym")=0,DATEDIF(TODAY(),$B46,"y")=0,AND(MONTH($B46)=12,DAY($B46)=25))</formula>
    </cfRule>
  </conditionalFormatting>
  <conditionalFormatting sqref="C13 K13 S13 C22 K22 S22 C31 K31 S31 C40 K40 S40">
    <cfRule type="expression" priority="122" dxfId="330" stopIfTrue="1">
      <formula>C13=""</formula>
    </cfRule>
    <cfRule type="expression" priority="123" dxfId="326" stopIfTrue="1">
      <formula>(C13&lt;TODAY())</formula>
    </cfRule>
    <cfRule type="expression" priority="124" dxfId="327" stopIfTrue="1">
      <formula>AND(COUNTIF($B$46:$B$100,C13)=1,C13&gt;=TODAY())</formula>
    </cfRule>
  </conditionalFormatting>
  <conditionalFormatting sqref="B13 J13 R13 B22 J22 R22 B31 J31 R31 B40 J40 R40">
    <cfRule type="expression" priority="125" dxfId="330" stopIfTrue="1">
      <formula>B13=""</formula>
    </cfRule>
    <cfRule type="expression" priority="126" dxfId="326" stopIfTrue="1">
      <formula>(B13&lt;TODAY())</formula>
    </cfRule>
    <cfRule type="expression" priority="127" dxfId="327" stopIfTrue="1">
      <formula>AND(COUNTIF($B$46:$B$100,B13)&gt;=1,B13&gt;=TODAY())</formula>
    </cfRule>
  </conditionalFormatting>
  <conditionalFormatting sqref="I13">
    <cfRule type="expression" priority="12" dxfId="331" stopIfTrue="1">
      <formula>NOT(YEAR(TODAY())=$H$4)</formula>
    </cfRule>
  </conditionalFormatting>
  <conditionalFormatting sqref="A13">
    <cfRule type="expression" priority="11" dxfId="331" stopIfTrue="1">
      <formula>NOT(YEAR(TODAY())=$H$4)</formula>
    </cfRule>
  </conditionalFormatting>
  <conditionalFormatting sqref="Q13">
    <cfRule type="expression" priority="10" dxfId="331" stopIfTrue="1">
      <formula>NOT(YEAR(TODAY())=$H$4)</formula>
    </cfRule>
  </conditionalFormatting>
  <conditionalFormatting sqref="A22">
    <cfRule type="expression" priority="9" dxfId="331" stopIfTrue="1">
      <formula>NOT(YEAR(TODAY())=$H$4)</formula>
    </cfRule>
  </conditionalFormatting>
  <conditionalFormatting sqref="I22">
    <cfRule type="expression" priority="8" dxfId="331" stopIfTrue="1">
      <formula>NOT(YEAR(TODAY())=$H$4)</formula>
    </cfRule>
  </conditionalFormatting>
  <conditionalFormatting sqref="Q22">
    <cfRule type="expression" priority="7" dxfId="331" stopIfTrue="1">
      <formula>NOT(YEAR(TODAY())=$H$4)</formula>
    </cfRule>
  </conditionalFormatting>
  <conditionalFormatting sqref="A31">
    <cfRule type="expression" priority="6" dxfId="331" stopIfTrue="1">
      <formula>NOT(YEAR(TODAY())=$H$4)</formula>
    </cfRule>
  </conditionalFormatting>
  <conditionalFormatting sqref="I31">
    <cfRule type="expression" priority="5" dxfId="331" stopIfTrue="1">
      <formula>NOT(YEAR(TODAY())=$H$4)</formula>
    </cfRule>
  </conditionalFormatting>
  <conditionalFormatting sqref="Q31">
    <cfRule type="expression" priority="4" dxfId="331" stopIfTrue="1">
      <formula>NOT(YEAR(TODAY())=$H$4)</formula>
    </cfRule>
  </conditionalFormatting>
  <conditionalFormatting sqref="A40">
    <cfRule type="expression" priority="3" dxfId="331" stopIfTrue="1">
      <formula>NOT(YEAR(TODAY())=$H$4)</formula>
    </cfRule>
  </conditionalFormatting>
  <conditionalFormatting sqref="I40">
    <cfRule type="expression" priority="2" dxfId="331" stopIfTrue="1">
      <formula>NOT(YEAR(TODAY())=$H$4)</formula>
    </cfRule>
  </conditionalFormatting>
  <conditionalFormatting sqref="Q40">
    <cfRule type="expression" priority="1" dxfId="331" stopIfTrue="1">
      <formula>NOT(YEAR(TODAY())=$H$4)</formula>
    </cfRule>
  </conditionalFormatting>
  <dataValidations count="1">
    <dataValidation type="whole" allowBlank="1" showInputMessage="1" showErrorMessage="1" promptTitle="Enter the year" prompt="eg. 2002 &#10;Otherwise leave blank for the current month at the top and the following 11 months" errorTitle="The years grandfathers know " error="Enter the year 1900 - 3000" imeMode="off" sqref="G3">
      <formula1>1900</formula1>
      <formula2>3000</formula2>
    </dataValidation>
  </dataValidations>
  <hyperlinks>
    <hyperlink ref="U2:Y2" r:id="rId1" display="http://kenmzoka.tripod.com/"/>
    <hyperlink ref="X44" r:id="rId2" display="Ken's Home Radio"/>
    <hyperlink ref="U1" r:id="rId3" display="Calendar Japan"/>
  </hyperlinks>
  <printOptions horizontalCentered="1" verticalCentered="1"/>
  <pageMargins left="0.1968503937007874" right="0.1968503937007874" top="0.1968503937007874" bottom="0.1968503937007874" header="0" footer="0"/>
  <pageSetup horizontalDpi="300" verticalDpi="300" orientation="portrait" paperSize="9" scale="95" r:id="rId8"/>
  <headerFooter alignWithMargins="0">
    <oddHeader>&amp;CCalendar for Japan</oddHeader>
    <oddFooter>&amp;LKen Matsuoka&amp;C&amp;F&amp;R&amp;D</oddFooter>
  </headerFooter>
  <drawing r:id="rId7"/>
  <legacyDrawing r:id="rId6"/>
  <oleObjects>
    <oleObject progId="MS_ClipArt_Gallery" shapeId="1134580" r:id="rId5"/>
  </oleObjects>
</worksheet>
</file>

<file path=xl/worksheets/sheet2.xml><?xml version="1.0" encoding="utf-8"?>
<worksheet xmlns="http://schemas.openxmlformats.org/spreadsheetml/2006/main" xmlns:r="http://schemas.openxmlformats.org/officeDocument/2006/relationships">
  <sheetPr>
    <pageSetUpPr fitToPage="1"/>
  </sheetPr>
  <dimension ref="A1:AF118"/>
  <sheetViews>
    <sheetView zoomScale="75" zoomScaleNormal="75" zoomScalePageLayoutView="0" workbookViewId="0" topLeftCell="A1">
      <pane ySplit="7" topLeftCell="A8" activePane="bottomLeft" state="frozen"/>
      <selection pane="topLeft" activeCell="A1" sqref="A1"/>
      <selection pane="bottomLeft" activeCell="U35" sqref="U35:X35"/>
    </sheetView>
  </sheetViews>
  <sheetFormatPr defaultColWidth="9.00390625" defaultRowHeight="20.25" customHeight="1"/>
  <cols>
    <col min="1" max="1" width="1.00390625" style="5" customWidth="1"/>
    <col min="2" max="8" width="4.625" style="6" customWidth="1"/>
    <col min="9" max="9" width="1.625" style="5" customWidth="1"/>
    <col min="10" max="16" width="4.625" style="6" customWidth="1"/>
    <col min="17" max="17" width="1.625" style="5" customWidth="1"/>
    <col min="18" max="24" width="4.625" style="6" customWidth="1"/>
    <col min="25" max="25" width="0.74609375" style="5" customWidth="1"/>
    <col min="26" max="16384" width="9.00390625" style="5" customWidth="1"/>
  </cols>
  <sheetData>
    <row r="1" spans="21:26" ht="20.25" customHeight="1">
      <c r="U1" s="185" t="s">
        <v>85</v>
      </c>
      <c r="V1" s="185"/>
      <c r="W1" s="185"/>
      <c r="X1" s="185"/>
      <c r="Y1" s="185"/>
      <c r="Z1" s="185"/>
    </row>
    <row r="2" spans="1:28" ht="20.25" customHeight="1">
      <c r="A2" s="2">
        <f ca="1">NOW()</f>
        <v>45343.688428125</v>
      </c>
      <c r="B2" s="3"/>
      <c r="C2" s="3"/>
      <c r="D2" s="3"/>
      <c r="E2" s="3"/>
      <c r="F2" s="3"/>
      <c r="G2" s="3"/>
      <c r="H2" s="3"/>
      <c r="I2" s="3"/>
      <c r="J2" s="4"/>
      <c r="K2" s="3"/>
      <c r="L2" s="3"/>
      <c r="M2" s="1" t="str">
        <f>CONCATENATE(T3," "," ",G3," HOLIDAY SCHEDULE")</f>
        <v>Japan   HOLIDAY SCHEDULE</v>
      </c>
      <c r="N2" s="3"/>
      <c r="O2" s="3"/>
      <c r="P2" s="3"/>
      <c r="Q2" s="3"/>
      <c r="R2" s="3"/>
      <c r="S2" s="3"/>
      <c r="T2" s="4"/>
      <c r="U2" s="137" t="s">
        <v>0</v>
      </c>
      <c r="V2" s="137"/>
      <c r="W2" s="137"/>
      <c r="X2" s="137"/>
      <c r="Y2" s="137"/>
      <c r="Z2" s="137"/>
      <c r="AA2" s="3"/>
      <c r="AB2" s="4"/>
    </row>
    <row r="3" spans="1:28" ht="20.25" customHeight="1">
      <c r="A3" s="3"/>
      <c r="B3" s="3"/>
      <c r="C3" s="3"/>
      <c r="D3" s="3"/>
      <c r="E3" s="3"/>
      <c r="F3" s="3"/>
      <c r="G3" s="14"/>
      <c r="H3" s="3"/>
      <c r="I3" s="3"/>
      <c r="J3" s="3"/>
      <c r="K3" s="3"/>
      <c r="L3" s="3"/>
      <c r="M3" s="3"/>
      <c r="N3" s="3"/>
      <c r="O3" s="3"/>
      <c r="P3" s="3"/>
      <c r="Q3" s="3"/>
      <c r="R3" s="3"/>
      <c r="S3" s="3"/>
      <c r="T3" s="138" t="s">
        <v>49</v>
      </c>
      <c r="U3" s="139"/>
      <c r="V3" s="139"/>
      <c r="W3" s="139"/>
      <c r="X3" s="139"/>
      <c r="Y3" s="3"/>
      <c r="Z3" s="3"/>
      <c r="AA3" s="170">
        <f>IF(G3="","",DATE(G3,1,1))</f>
      </c>
      <c r="AB3" s="170"/>
    </row>
    <row r="4" spans="1:28" ht="20.25" customHeight="1">
      <c r="A4" s="3"/>
      <c r="B4" s="3"/>
      <c r="C4" s="3"/>
      <c r="D4" s="3"/>
      <c r="E4" s="3"/>
      <c r="F4" s="3"/>
      <c r="G4" s="3"/>
      <c r="H4" s="3"/>
      <c r="I4" s="3"/>
      <c r="J4" s="3"/>
      <c r="K4" s="3"/>
      <c r="L4" s="3"/>
      <c r="M4" s="3"/>
      <c r="N4" s="3"/>
      <c r="O4" s="3"/>
      <c r="P4" s="3"/>
      <c r="Q4" s="3"/>
      <c r="R4" s="3"/>
      <c r="S4" s="3"/>
      <c r="T4" s="139"/>
      <c r="U4" s="139"/>
      <c r="V4" s="139"/>
      <c r="W4" s="139"/>
      <c r="X4" s="139"/>
      <c r="Y4" s="3"/>
      <c r="Z4" s="3"/>
      <c r="AA4" s="3"/>
      <c r="AB4" s="4"/>
    </row>
    <row r="5" spans="2:8" ht="6" customHeight="1">
      <c r="B5" s="171"/>
      <c r="C5" s="171"/>
      <c r="D5" s="171"/>
      <c r="E5" s="171"/>
      <c r="F5" s="171"/>
      <c r="G5" s="171"/>
      <c r="H5" s="171"/>
    </row>
    <row r="6" spans="2:25" ht="20.25" customHeight="1" thickBot="1">
      <c r="B6" s="199">
        <f ca="1">IF(G3="",TODAY(),DATE(G3,1,1))</f>
        <v>45343</v>
      </c>
      <c r="C6" s="199"/>
      <c r="D6" s="199"/>
      <c r="E6" s="199"/>
      <c r="F6" s="199"/>
      <c r="G6" s="199"/>
      <c r="H6" s="199"/>
      <c r="I6" s="85">
        <f>DATE(YEAR(B6),MONTH(B6),1)</f>
        <v>45323</v>
      </c>
      <c r="J6" s="198">
        <f>IF(MONTH(B6)=12,CONCATENATE("Jan ",YEAR(B6)+1),DATE(YEAR(B6),MONTH(B6)+1,1))</f>
        <v>45352</v>
      </c>
      <c r="K6" s="198"/>
      <c r="L6" s="198"/>
      <c r="M6" s="198"/>
      <c r="N6" s="198"/>
      <c r="O6" s="198"/>
      <c r="P6" s="198"/>
      <c r="Q6" s="85">
        <f>DATE(YEAR(B6),MONTH(B6)+1,1)</f>
        <v>45352</v>
      </c>
      <c r="R6" s="198">
        <f>IF(MONTH(Q6)=12,CONCATENATE("Jan ",YEAR(Q6)+1),DATE(YEAR(Q6),MONTH(Q6)+1,1))</f>
        <v>45383</v>
      </c>
      <c r="S6" s="198"/>
      <c r="T6" s="198"/>
      <c r="U6" s="198"/>
      <c r="V6" s="198"/>
      <c r="W6" s="198"/>
      <c r="X6" s="198"/>
      <c r="Y6" s="84">
        <f>DATE(YEAR(Q6),MONTH(Q6)+1,1)</f>
        <v>45383</v>
      </c>
    </row>
    <row r="7" spans="2:24" ht="20.25" customHeight="1" thickTop="1">
      <c r="B7" s="29" t="s">
        <v>41</v>
      </c>
      <c r="C7" s="30" t="s">
        <v>42</v>
      </c>
      <c r="D7" s="30" t="s">
        <v>43</v>
      </c>
      <c r="E7" s="30" t="s">
        <v>44</v>
      </c>
      <c r="F7" s="30" t="s">
        <v>45</v>
      </c>
      <c r="G7" s="30" t="s">
        <v>46</v>
      </c>
      <c r="H7" s="31" t="s">
        <v>47</v>
      </c>
      <c r="I7" s="3"/>
      <c r="J7" s="29" t="s">
        <v>50</v>
      </c>
      <c r="K7" s="30" t="s">
        <v>51</v>
      </c>
      <c r="L7" s="30" t="s">
        <v>52</v>
      </c>
      <c r="M7" s="30" t="s">
        <v>53</v>
      </c>
      <c r="N7" s="30" t="s">
        <v>54</v>
      </c>
      <c r="O7" s="30" t="s">
        <v>55</v>
      </c>
      <c r="P7" s="31" t="s">
        <v>56</v>
      </c>
      <c r="Q7" s="3"/>
      <c r="R7" s="29" t="s">
        <v>50</v>
      </c>
      <c r="S7" s="30" t="s">
        <v>51</v>
      </c>
      <c r="T7" s="30" t="s">
        <v>52</v>
      </c>
      <c r="U7" s="30" t="s">
        <v>53</v>
      </c>
      <c r="V7" s="30" t="s">
        <v>54</v>
      </c>
      <c r="W7" s="30" t="s">
        <v>55</v>
      </c>
      <c r="X7" s="31" t="s">
        <v>56</v>
      </c>
    </row>
    <row r="8" spans="2:24" ht="27" customHeight="1">
      <c r="B8" s="32">
        <f>IF(WEEKDAY(DATE(YEAR(B6),MONTH(B6),DAY(1)),1)=1,DATE(YEAR(B6),MONTH(B6),DAY(1)),"")</f>
      </c>
      <c r="C8" s="33">
        <f>IF(WEEKDAY(DATE(YEAR(B6),MONTH(B6),DAY(1)),1)=2,DATE(YEAR(B6),MONTH(B6),DAY(1)),IF(NOT(B8=""),B8+1,""))</f>
      </c>
      <c r="D8" s="33">
        <f>IF(WEEKDAY(DATE(YEAR(B6),MONTH(B6),DAY(1)),1)=3,DATE(YEAR(B6),MONTH(B6),DAY(1)),IF(NOT(C8=""),C8+1,""))</f>
      </c>
      <c r="E8" s="33">
        <f>IF(WEEKDAY(DATE(YEAR(B6),MONTH(B6),DAY(1)),1)=4,DATE(YEAR(B6),MONTH(B6),DAY(1)),IF(NOT(D8=""),D8+1,""))</f>
      </c>
      <c r="F8" s="33">
        <f>IF(WEEKDAY(DATE(YEAR(B6),MONTH(B6),DAY(1)),1)=5,DATE(YEAR(B6),MONTH(B6),DAY(1)),IF(NOT(E8=""),E8+1,""))</f>
        <v>45323</v>
      </c>
      <c r="G8" s="33">
        <f>IF(WEEKDAY(DATE(YEAR(B6),MONTH(B6),DAY(1)),1)=6,DATE(YEAR(B6),MONTH(B6),DAY(1)),IF(NOT(F8=""),F8+1,""))</f>
        <v>45324</v>
      </c>
      <c r="H8" s="34">
        <f>IF(WEEKDAY(DATE(YEAR(B6),MONTH(B6),DAY(1)),1)=7,DATE(YEAR(B6),MONTH(B6),DAY(1)),DATE(YEAR(G8),MONTH(G8),DAY(G8+1)))</f>
        <v>45325</v>
      </c>
      <c r="J8" s="32">
        <f>IF(WEEKDAY(DATE(YEAR(Q6),MONTH(Q6),DAY(1)),1)=1,DATE(YEAR(Q7),MONTH(Q6),DAY(1)),"")</f>
      </c>
      <c r="K8" s="33">
        <f>IF(WEEKDAY(DATE(YEAR(Q6),MONTH(Q6),DAY(1)),1)=2,DATE(YEAR(Q6),MONTH(Q6),DAY(1)),IF(NOT(J8=""),J8+1,""))</f>
      </c>
      <c r="L8" s="33">
        <f>IF(WEEKDAY(DATE(YEAR(Q6),MONTH(Q6),DAY(1)),1)=3,DATE(YEAR(Q6),MONTH(Q6),DAY(1)),IF(NOT(K8=""),K8+1,""))</f>
      </c>
      <c r="M8" s="33">
        <f>IF(WEEKDAY(DATE(YEAR(Q6),MONTH(Q6),DAY(1)),1)=4,DATE(YEAR(Q6),MONTH(Q6),DAY(1)),IF(NOT(L8=""),L8+1,""))</f>
      </c>
      <c r="N8" s="33">
        <f>IF(WEEKDAY(DATE(YEAR(Q6),MONTH(Q6),DAY(1)),1)=5,DATE(YEAR(Q6),MONTH(Q6),DAY(1)),IF(NOT(M8=""),M8+1,""))</f>
      </c>
      <c r="O8" s="33">
        <f>IF(WEEKDAY(DATE(YEAR(Q6),MONTH(Q6),DAY(1)),1)=6,DATE(YEAR(Q6),MONTH(Q6),DAY(1)),IF(NOT(N8=""),N8+1,""))</f>
        <v>45352</v>
      </c>
      <c r="P8" s="34">
        <f>IF(WEEKDAY(DATE(YEAR(Q6),MONTH(Q6),DAY(1)),1)=7,DATE(YEAR(Q6),MONTH(Q6),DAY(1)),DATE(YEAR(O8),MONTH(O8),DAY(O8+1)))</f>
        <v>45353</v>
      </c>
      <c r="R8" s="32">
        <f>IF(WEEKDAY(DATE(YEAR(Y6),MONTH(Y6),DAY(1)),1)=1,DATE(YEAR(Y7),MONTH(Y6),DAY(1)),"")</f>
      </c>
      <c r="S8" s="33">
        <f>IF(WEEKDAY(DATE(YEAR(Y6),MONTH(Y6),DAY(1)),1)=2,DATE(YEAR(Y6),MONTH(Y6),DAY(1)),IF(NOT(R8=""),R8+1,""))</f>
        <v>45383</v>
      </c>
      <c r="T8" s="33">
        <f>IF(WEEKDAY(DATE(YEAR(Y6),MONTH(Y6),DAY(1)),1)=3,DATE(YEAR(Y6),MONTH(Y6),DAY(1)),IF(NOT(S8=""),S8+1,""))</f>
        <v>45384</v>
      </c>
      <c r="U8" s="33">
        <f>IF(WEEKDAY(DATE(YEAR(Y6),MONTH(Y6),DAY(1)),1)=4,DATE(YEAR(Y6),MONTH(Y6),DAY(1)),IF(NOT(T8=""),T8+1,""))</f>
        <v>45385</v>
      </c>
      <c r="V8" s="33">
        <f>IF(WEEKDAY(DATE(YEAR(Y6),MONTH(Y6),DAY(1)),1)=5,DATE(YEAR(Y6),MONTH(Y6),DAY(1)),IF(NOT(U8=""),U8+1,""))</f>
        <v>45386</v>
      </c>
      <c r="W8" s="33">
        <f>IF(WEEKDAY(DATE(YEAR(Y6),MONTH(Y6),DAY(1)),1)=6,DATE(YEAR(Y6),MONTH(Y6),DAY(1)),IF(NOT(V8=""),V8+1,""))</f>
        <v>45387</v>
      </c>
      <c r="X8" s="34">
        <f>IF(WEEKDAY(DATE(YEAR(Y6),MONTH(Y6),DAY(1)),1)=7,DATE(YEAR(Y6),MONTH(Y6),DAY(1)),DATE(YEAR(W8),MONTH(W8),DAY(W8+1)))</f>
        <v>45388</v>
      </c>
    </row>
    <row r="9" spans="2:24" ht="27" customHeight="1">
      <c r="B9" s="32">
        <f>DATE(YEAR(H8),MONTH(H8),DAY(H8+1))</f>
        <v>45326</v>
      </c>
      <c r="C9" s="33">
        <f aca="true" t="shared" si="0" ref="C9:H11">DATE(YEAR(B9),MONTH(B9),DAY(B9+1))</f>
        <v>45327</v>
      </c>
      <c r="D9" s="33">
        <f t="shared" si="0"/>
        <v>45328</v>
      </c>
      <c r="E9" s="33">
        <f t="shared" si="0"/>
        <v>45329</v>
      </c>
      <c r="F9" s="33">
        <f t="shared" si="0"/>
        <v>45330</v>
      </c>
      <c r="G9" s="33">
        <f t="shared" si="0"/>
        <v>45331</v>
      </c>
      <c r="H9" s="34">
        <f t="shared" si="0"/>
        <v>45332</v>
      </c>
      <c r="J9" s="32">
        <f>DATE(YEAR(P8),MONTH(P8),DAY(P8+1))</f>
        <v>45354</v>
      </c>
      <c r="K9" s="33">
        <f aca="true" t="shared" si="1" ref="K9:P11">DATE(YEAR(J9),MONTH(J9),DAY(J9+1))</f>
        <v>45355</v>
      </c>
      <c r="L9" s="33">
        <f t="shared" si="1"/>
        <v>45356</v>
      </c>
      <c r="M9" s="33">
        <f t="shared" si="1"/>
        <v>45357</v>
      </c>
      <c r="N9" s="33">
        <f t="shared" si="1"/>
        <v>45358</v>
      </c>
      <c r="O9" s="33">
        <f t="shared" si="1"/>
        <v>45359</v>
      </c>
      <c r="P9" s="34">
        <f t="shared" si="1"/>
        <v>45360</v>
      </c>
      <c r="R9" s="32">
        <f>DATE(YEAR(X8),MONTH(X8),DAY(X8+1))</f>
        <v>45389</v>
      </c>
      <c r="S9" s="33">
        <f aca="true" t="shared" si="2" ref="S9:X11">DATE(YEAR(R9),MONTH(R9),DAY(R9+1))</f>
        <v>45390</v>
      </c>
      <c r="T9" s="33">
        <f t="shared" si="2"/>
        <v>45391</v>
      </c>
      <c r="U9" s="33">
        <f t="shared" si="2"/>
        <v>45392</v>
      </c>
      <c r="V9" s="33">
        <f t="shared" si="2"/>
        <v>45393</v>
      </c>
      <c r="W9" s="33">
        <f t="shared" si="2"/>
        <v>45394</v>
      </c>
      <c r="X9" s="34">
        <f t="shared" si="2"/>
        <v>45395</v>
      </c>
    </row>
    <row r="10" spans="2:24" ht="27" customHeight="1">
      <c r="B10" s="32">
        <f>DATE(YEAR(H9),MONTH(H9),DAY(H9+1))</f>
        <v>45333</v>
      </c>
      <c r="C10" s="33">
        <f t="shared" si="0"/>
        <v>45334</v>
      </c>
      <c r="D10" s="33">
        <f t="shared" si="0"/>
        <v>45335</v>
      </c>
      <c r="E10" s="33">
        <f t="shared" si="0"/>
        <v>45336</v>
      </c>
      <c r="F10" s="33">
        <f t="shared" si="0"/>
        <v>45337</v>
      </c>
      <c r="G10" s="33">
        <f t="shared" si="0"/>
        <v>45338</v>
      </c>
      <c r="H10" s="34">
        <f t="shared" si="0"/>
        <v>45339</v>
      </c>
      <c r="J10" s="32">
        <f>DATE(YEAR(P9),MONTH(P9),DAY(P9+1))</f>
        <v>45361</v>
      </c>
      <c r="K10" s="33">
        <f t="shared" si="1"/>
        <v>45362</v>
      </c>
      <c r="L10" s="33">
        <f t="shared" si="1"/>
        <v>45363</v>
      </c>
      <c r="M10" s="33">
        <f t="shared" si="1"/>
        <v>45364</v>
      </c>
      <c r="N10" s="33">
        <f t="shared" si="1"/>
        <v>45365</v>
      </c>
      <c r="O10" s="33">
        <f t="shared" si="1"/>
        <v>45366</v>
      </c>
      <c r="P10" s="34">
        <f t="shared" si="1"/>
        <v>45367</v>
      </c>
      <c r="R10" s="32">
        <f>DATE(YEAR(X9),MONTH(X9),DAY(X9+1))</f>
        <v>45396</v>
      </c>
      <c r="S10" s="33">
        <f t="shared" si="2"/>
        <v>45397</v>
      </c>
      <c r="T10" s="33">
        <f t="shared" si="2"/>
        <v>45398</v>
      </c>
      <c r="U10" s="33">
        <f t="shared" si="2"/>
        <v>45399</v>
      </c>
      <c r="V10" s="33">
        <f t="shared" si="2"/>
        <v>45400</v>
      </c>
      <c r="W10" s="33">
        <f t="shared" si="2"/>
        <v>45401</v>
      </c>
      <c r="X10" s="34">
        <f t="shared" si="2"/>
        <v>45402</v>
      </c>
    </row>
    <row r="11" spans="2:24" ht="27" customHeight="1">
      <c r="B11" s="32">
        <f>DATE(YEAR(H10),MONTH(H10),DAY(H10+1))</f>
        <v>45340</v>
      </c>
      <c r="C11" s="33">
        <f t="shared" si="0"/>
        <v>45341</v>
      </c>
      <c r="D11" s="33">
        <f t="shared" si="0"/>
        <v>45342</v>
      </c>
      <c r="E11" s="33">
        <f t="shared" si="0"/>
        <v>45343</v>
      </c>
      <c r="F11" s="33">
        <f t="shared" si="0"/>
        <v>45344</v>
      </c>
      <c r="G11" s="33">
        <f t="shared" si="0"/>
        <v>45345</v>
      </c>
      <c r="H11" s="34">
        <f t="shared" si="0"/>
        <v>45346</v>
      </c>
      <c r="J11" s="32">
        <f>DATE(YEAR(P10),MONTH(P10),DAY(P10+1))</f>
        <v>45368</v>
      </c>
      <c r="K11" s="33">
        <f t="shared" si="1"/>
        <v>45369</v>
      </c>
      <c r="L11" s="33">
        <f t="shared" si="1"/>
        <v>45370</v>
      </c>
      <c r="M11" s="33">
        <f t="shared" si="1"/>
        <v>45371</v>
      </c>
      <c r="N11" s="33">
        <f t="shared" si="1"/>
        <v>45372</v>
      </c>
      <c r="O11" s="33">
        <f t="shared" si="1"/>
        <v>45373</v>
      </c>
      <c r="P11" s="34">
        <f t="shared" si="1"/>
        <v>45374</v>
      </c>
      <c r="R11" s="32">
        <f>DATE(YEAR(X10),MONTH(X10),DAY(X10+1))</f>
        <v>45403</v>
      </c>
      <c r="S11" s="33">
        <f t="shared" si="2"/>
        <v>45404</v>
      </c>
      <c r="T11" s="33">
        <f t="shared" si="2"/>
        <v>45405</v>
      </c>
      <c r="U11" s="33">
        <f t="shared" si="2"/>
        <v>45406</v>
      </c>
      <c r="V11" s="33">
        <f t="shared" si="2"/>
        <v>45407</v>
      </c>
      <c r="W11" s="33">
        <f t="shared" si="2"/>
        <v>45408</v>
      </c>
      <c r="X11" s="34">
        <f t="shared" si="2"/>
        <v>45409</v>
      </c>
    </row>
    <row r="12" spans="2:26" ht="27" customHeight="1">
      <c r="B12" s="32">
        <f>IF(DAY(H8+22)=1,"",DATE(YEAR(H8),MONTH(H8),DAY(H8+22)))</f>
        <v>45347</v>
      </c>
      <c r="C12" s="33">
        <f>IF(DAY(H8+23)=1,"",IF(OR(NOT(MONTH(B6)=2),AND(MONTH(B6)=2,OR(MOD(YEAR(B6),400)=0,AND(MOD(YEAR(B6),4)=0,MOD(YEAR(B6),100)&lt;&gt;0)))),DATE(YEAR(B12),MONTH(B12),DAY(B12+1)),IF(AND(MONTH(B6)=2,OR($C$8="",$D$8="")),DATE(YEAR(B12),MONTH(B12),DAY(B12+1)),"")))</f>
        <v>45348</v>
      </c>
      <c r="D12" s="33">
        <f>IF(OR(DAY(H8+23)=1,DAY(H8+24)=1),"",IF(OR(NOT(MONTH(B6)=2),AND(MONTH(B6)=2,OR(MOD(YEAR(B6),400)=0,AND(MOD(YEAR(B6),4)=0,MOD(YEAR(B6),100)&lt;&gt;0)))),DATE(YEAR(C12),MONTH(C12),DAY(C12+1)),IF(AND(MONTH(B6)=2,OR($C$8="",$D$8="")),DATE(YEAR(C12),MONTH(C12),DAY(C12+1)),"")))</f>
        <v>45349</v>
      </c>
      <c r="E12" s="33">
        <f>IF(OR(DAY($H$8+23)=1,DAY($H$8+24)=1,DAY($H$8+25)=1),"",IF(OR(NOT(MONTH(B6)=2),AND(MONTH(B6)=2,OR(MOD(YEAR(B6),400)=0,AND(MOD(YEAR(B6),4)=0,MOD(YEAR(B6),100)&lt;&gt;0)))),DATE(YEAR(D12),MONTH(D12),DAY(D12+1)),IF(AND(MONTH(B6)=2,OR($C$8="",$D$8="")),DATE(YEAR(D12),MONTH(D12),DAY(D12+1)),"")))</f>
        <v>45350</v>
      </c>
      <c r="F12" s="33">
        <f>IF(OR(DAY($H$8+23)=1,DAY($H$8+24)=1,DAY($H$8+25)=1,DAY($H$8+26)=1),"",IF(OR(NOT(MONTH(B6)=2),AND(MONTH(B6)=2,OR(MOD(YEAR(B6),400)=0,AND(MOD(YEAR(B6),4)=0,MOD(YEAR(B6),100)&lt;&gt;0)))),DATE(YEAR(E12),MONTH(E12),DAY(E12+1)),IF(AND(MONTH(B6)=2,OR($C$8="",$D$8="")),DATE(YEAR(E12),MONTH(E12),DAY(E12+1)),"")))</f>
        <v>45351</v>
      </c>
      <c r="G12" s="33">
        <f>IF(OR(DAY($H$8+23)=1,DAY($H$8+24)=1,DAY($H$8+25)=1,DAY($H$8+26)=1,DAY($H$8+27)=1),"",IF(OR(NOT(MONTH(B6)=2),AND(MONTH(B6)=2,OR(MOD(YEAR(B6),400)=0,AND(MOD(YEAR(B6),4)=0,MOD(YEAR(B6),100)&lt;&gt;0)))),DATE(YEAR(F12),MONTH(F12),DAY(F12+1)),IF(AND(MONTH(B6)=2,OR($C$8="",$D$8="")),DATE(YEAR(F12),MONTH(F12),DAY(F12+1)),"")))</f>
      </c>
      <c r="H12" s="34">
        <f>IF(OR(DAY($H$8+23)=1,DAY($H$8+24)=1,DAY($H$8+25)=1,DAY($H$8+26)=1,DAY($H$8+27)=1,DAY($H$8+28)=1),"",IF(OR(NOT(MONTH(B6)=2),AND(MONTH(B6)=2,OR(MOD(YEAR(B6),400)=0,AND(MOD(YEAR(B6),4)=0,MOD(YEAR(B6),100)&lt;&gt;0)))),DATE(YEAR(G12),MONTH(G12),DAY(G12+1)),IF(AND(MONTH(B6)=2,OR($C$8="",$D$8="")),DATE(YEAR(G12),MONTH(G12),DAY(G12+1)),"")))</f>
      </c>
      <c r="J12" s="32">
        <f>IF(DAY(P8+22)=1,"",DATE(YEAR(P8),MONTH(P8),DAY(P8+22)))</f>
        <v>45375</v>
      </c>
      <c r="K12" s="33">
        <f>IF(DAY(P8+23)=1,"",IF(OR(NOT(MONTH(N5)=2),AND(MONTH(N5)=2,OR(MOD(YEAR(N5),400)=0,AND(MOD(YEAR(N5),4)=0,MOD(YEAR(N5),100)&lt;&gt;0)))),DATE(YEAR(J12),MONTH(J12),DAY(J12+1)),IF(AND(MONTH(N5)=2,OR(K8="",L8="")),DATE(YEAR(J12),MONTH(J12),DAY(J12+1)),"")))</f>
        <v>45376</v>
      </c>
      <c r="L12" s="33">
        <f>IF(OR(DAY(P8+23)=1,DAY(P8+24)=1),"",IF(OR(NOT(MONTH(N5)=2),AND(MONTH(N5)=2,OR(MOD(YEAR(N5),400)=0,AND(MOD(YEAR(N5),4)=0,MOD(YEAR(N5),100)&lt;&gt;0)))),DATE(YEAR(K12),MONTH(K12),DAY(K12+1)),IF(AND(MONTH(N5)=2,OR(K8="",L8="")),DATE(YEAR(K12),MONTH(K12),DAY(K12+1)),"")))</f>
        <v>45377</v>
      </c>
      <c r="M12" s="33">
        <f>IF(OR(DAY(P8+23)=1,DAY(P8+24)=1,DAY(P8+25)=1),"",IF(OR(NOT(MONTH(N5)=2),AND(MONTH(N5)=2,OR(MOD(YEAR(N5),400)=0,AND(MOD(YEAR(N5),4)=0,MOD(YEAR(N5),100)&lt;&gt;0)))),DATE(YEAR(L12),MONTH(L12),DAY(L12+1)),IF(AND(MONTH(N5)=2,OR(K8="",L8="")),DATE(YEAR(L12),MONTH(L12),DAY(L12+1)),"")))</f>
        <v>45378</v>
      </c>
      <c r="N12" s="33">
        <f>IF(OR(DAY(P8+23)=1,DAY(P8+24)=1,DAY(P8+25)=1,DAY(P8+26)=1),"",IF(OR(NOT(MONTH(N5)=2),AND(MONTH(N5)=2,OR(MOD(YEAR(N5),400)=0,AND(MOD(YEAR(N5),4)=0,MOD(YEAR(N5),100)&lt;&gt;0)))),DATE(YEAR(M12),MONTH(M12),DAY(M12+1)),IF(AND(MONTH(N5)=2,OR(K8="",L8="")),DATE(YEAR(M12),MONTH(M12),DAY(M12+1)),"")))</f>
        <v>45379</v>
      </c>
      <c r="O12" s="33">
        <f>IF(OR(DAY(P8+23)=1,DAY(P8+24)=1,DAY(P8+25)=1,DAY(P8+26)=1,DAY(P8+27)=1),"",IF(OR(NOT(MONTH(N5)=2),AND(MONTH(N5)=2,OR(MOD(YEAR(N5),400)=0,AND(MOD(YEAR(N5),4)=0,MOD(YEAR(N5),100)&lt;&gt;0)))),DATE(YEAR(N12),MONTH(N12),DAY(N12+1)),IF(AND(MONTH(N5)=2,OR(K8="",L8="")),DATE(YEAR(N12),MONTH(N12),DAY(N12+1)),"")))</f>
        <v>45380</v>
      </c>
      <c r="P12" s="34">
        <f>IF(OR(DAY(P8+23)=1,DAY(P8+24)=1,DAY(P8+25)=1,DAY(P8+26)=1,DAY(P8+27)=1,DAY(P8+28)=1),"",IF(OR(NOT(MONTH(N5)=2),AND(MONTH(N5)=2,OR(MOD(YEAR(N5),400)=0,AND(MOD(YEAR(N5),4)=0,MOD(YEAR(N5),100)&lt;&gt;0)))),DATE(YEAR(O12),MONTH(O12),DAY(O12+1)),IF(AND(MONTH(N5)=2,OR(K8="",L8="")),DATE(YEAR(O12),MONTH(O12),DAY(O12+1)),"")))</f>
        <v>45381</v>
      </c>
      <c r="R12" s="32">
        <f>IF(DAY(X8+22)=1,"",DATE(YEAR(X8),MONTH(X8),DAY(X8+22)))</f>
        <v>45410</v>
      </c>
      <c r="S12" s="33">
        <f>IF(DAY(X8+23)=1,"",IF(OR(NOT(MONTH(V5)=2),AND(MONTH(V5)=2,OR(MOD(YEAR(V5),400)=0,AND(MOD(YEAR(V5),4)=0,MOD(YEAR(V5),100)&lt;&gt;0)))),DATE(YEAR(R12),MONTH(R12),DAY(R12+1)),IF(AND(MONTH(V5)=2,OR(S8="",T8="")),DATE(YEAR(R12),MONTH(R12),DAY(R12+1)),"")))</f>
        <v>45411</v>
      </c>
      <c r="T12" s="33">
        <f>IF(OR(DAY(X8+23)=1,DAY(X8+24)=1),"",IF(OR(NOT(MONTH(V5)=2),AND(MONTH(V5)=2,OR(MOD(YEAR(V5),400)=0,AND(MOD(YEAR(V5),4)=0,MOD(YEAR(V5),100)&lt;&gt;0)))),DATE(YEAR(S12),MONTH(S12),DAY(S12+1)),IF(AND(MONTH(V5)=2,OR(S8="",T8="")),DATE(YEAR(S12),MONTH(S12),DAY(S12+1)),"")))</f>
        <v>45412</v>
      </c>
      <c r="U12" s="33">
        <f>IF(OR(DAY(X8+23)=1,DAY(X8+24)=1,DAY(X8+25)=1),"",IF(OR(NOT(MONTH(V5)=2),AND(MONTH(V5)=2,OR(MOD(YEAR(V5),400)=0,AND(MOD(YEAR(V5),4)=0,MOD(YEAR(V5),100)&lt;&gt;0)))),DATE(YEAR(T12),MONTH(T12),DAY(T12+1)),IF(AND(MONTH(V5)=2,OR(S8="",T8="")),DATE(YEAR(T12),MONTH(T12),DAY(T12+1)),"")))</f>
      </c>
      <c r="V12" s="33">
        <f>IF(OR(DAY(X8+23)=1,DAY(X8+24)=1,DAY(X8+25)=1,DAY(X8+26)=1),"",IF(OR(NOT(MONTH(V5)=2),AND(MONTH(V5)=2,OR(MOD(YEAR(V5),400)=0,AND(MOD(YEAR(V5),4)=0,MOD(YEAR(V5),100)&lt;&gt;0)))),DATE(YEAR(U12),MONTH(U12),DAY(U12+1)),IF(AND(MONTH(V5)=2,OR(S8="",T8="")),DATE(YEAR(U12),MONTH(U12),DAY(U12+1)),"")))</f>
      </c>
      <c r="W12" s="33">
        <f>IF(OR(DAY(X8+23)=1,DAY(X8+24)=1,DAY(X8+25)=1,DAY(X8+26)=1,DAY(X8+27)=1),"",IF(OR(NOT(MONTH(V5)=2),AND(MONTH(V5)=2,OR(MOD(YEAR(V5),400)=0,AND(MOD(YEAR(V5),4)=0,MOD(YEAR(V5),100)&lt;&gt;0)))),DATE(YEAR(V12),MONTH(V12),DAY(V12+1)),IF(AND(MONTH(V5)=2,OR(S8="",T8="")),DATE(YEAR(V12),MONTH(V12),DAY(V12+1)),"")))</f>
      </c>
      <c r="X12" s="34">
        <f>IF(OR(DAY(X8+23)=1,DAY(X8+24)=1,DAY(X8+25)=1,DAY(X8+26)=1,DAY(X8+27)=1,DAY(X8+28)=1),"",IF(OR(NOT(MONTH(V5)=2),AND(MONTH(V5)=2,OR(MOD(YEAR(V5),400)=0,AND(MOD(YEAR(V5),4)=0,MOD(YEAR(V5),100)&lt;&gt;0)))),DATE(YEAR(W12),MONTH(W12),DAY(W12+1)),IF(AND(MONTH(V5)=2,OR(S8="",T8="")),DATE(YEAR(W12),MONTH(W12),DAY(W12+1)),"")))</f>
      </c>
      <c r="Z12" s="7"/>
    </row>
    <row r="13" spans="2:24" ht="27" customHeight="1" thickBot="1">
      <c r="B13" s="35">
        <f>IF(OR(DAY(H8+24)=1,DAY(H8+25)=1,DAY(H8+26)=1,DAY(H8+27)=1,DAY(H8+28)=1,DAY(H8+29)=1),"",IF(MONTH(H8)=2,"",DATE(YEAR(H12),MONTH(H12),DAY(H12+1))))</f>
      </c>
      <c r="C13" s="36">
        <f>IF(OR(DAY(H8+24)=1,DAY(H8+25)=1,DAY(H8+26)=1,DAY(H8+27)=1,DAY(H8+28)=1,DAY(H8+29)=1,DAY(H8+30)=1),"",IF(OR(MONTH(H8)=2,MONTH(F5)=4,MONTH(F5)=6,MONTH(F5)=9,MONTH(F5)=11),"",DATE(YEAR(B13),MONTH(B13),DAY(B13+1))))</f>
      </c>
      <c r="D13" s="36"/>
      <c r="E13" s="36"/>
      <c r="F13" s="36"/>
      <c r="G13" s="36"/>
      <c r="H13" s="37"/>
      <c r="J13" s="35">
        <f>IF(OR(DAY(P8+24)=1,DAY(P8+25)=1,DAY(P8+26)=1,DAY(P8+27)=1,DAY(P8+28)=1,DAY(P8+29)=1),"",IF(MONTH(P8)=2,"",DATE(YEAR(P12),MONTH(P12),DAY(P12+1))))</f>
        <v>45382</v>
      </c>
      <c r="K13" s="36">
        <f>IF(OR(DAY(P8+24)=1,DAY(P8+25)=1,DAY(P8+26)=1,DAY(P8+27)=1,DAY(P8+28)=1,DAY(P8+29)=1,DAY(P8+30)=1),"",IF(OR(MONTH(P8)=2,MONTH(N5)=4,MONTH(N5)=6,MONTH(N5)=9,MONTH(N5)=11),"",DATE(YEAR(J13),MONTH(J13),DAY(J13+1))))</f>
      </c>
      <c r="L13" s="36"/>
      <c r="M13" s="36"/>
      <c r="N13" s="36"/>
      <c r="O13" s="36"/>
      <c r="P13" s="37"/>
      <c r="R13" s="35">
        <f>IF(OR(DAY(X8+24)=1,DAY(X8+25)=1,DAY(X8+26)=1,DAY(X8+27)=1,DAY(X8+28)=1,DAY(X8+29)=1),"",IF(MONTH(X8)=2,"",DATE(YEAR(X12),MONTH(X12),DAY(X12+1))))</f>
      </c>
      <c r="S13" s="36">
        <f>IF(OR(DAY(X8+24)=1,DAY(X8+25)=1,DAY(X8+26)=1,DAY(X8+27)=1,DAY(X8+28)=1,DAY(X8+29)=1,DAY(X8+30)=1),"",IF(OR(MONTH(X8)=2,MONTH(V5)=4,MONTH(V5)=6,MONTH(V5)=9,MONTH(V5)=11),"",DATE(YEAR(R13),MONTH(R13),DAY(R13+1))))</f>
      </c>
      <c r="T13" s="36"/>
      <c r="U13" s="36"/>
      <c r="V13" s="36"/>
      <c r="W13" s="36"/>
      <c r="X13" s="37"/>
    </row>
    <row r="14" ht="9" customHeight="1" thickTop="1"/>
    <row r="15" spans="2:25" ht="20.25" customHeight="1" thickBot="1">
      <c r="B15" s="186">
        <f>IF(MONTH(Y6)=12,TEXT(DATE(YEAR(Y6)+1,1,1),"mmm yyyy"),DATE(YEAR(Y6),MONTH(Y6)+1,1))</f>
        <v>45413</v>
      </c>
      <c r="C15" s="186"/>
      <c r="D15" s="186"/>
      <c r="E15" s="186"/>
      <c r="F15" s="186"/>
      <c r="G15" s="186"/>
      <c r="H15" s="186"/>
      <c r="I15" s="85">
        <f>DATE(YEAR(Y6),MONTH(Y6)+1,1)</f>
        <v>45413</v>
      </c>
      <c r="J15" s="186">
        <f>IF(MONTH(I15)=12,TEXT(DATE(YEAR(I15)+1,1,1),"mmm yyyy"),DATE(YEAR(I15),MONTH(I15)+1,1))</f>
        <v>45444</v>
      </c>
      <c r="K15" s="186"/>
      <c r="L15" s="186"/>
      <c r="M15" s="186"/>
      <c r="N15" s="186"/>
      <c r="O15" s="186"/>
      <c r="P15" s="186"/>
      <c r="Q15" s="85">
        <f>DATE(YEAR(I15),MONTH(I15)+1,1)</f>
        <v>45444</v>
      </c>
      <c r="R15" s="186">
        <f>IF(MONTH(Q15)=12,CONCATENATE("Jan ",YEAR(Q15)+1),DATE(YEAR(Q15),MONTH(Q15)+1,1))</f>
        <v>45474</v>
      </c>
      <c r="S15" s="186"/>
      <c r="T15" s="186"/>
      <c r="U15" s="186"/>
      <c r="V15" s="186"/>
      <c r="W15" s="186"/>
      <c r="X15" s="186"/>
      <c r="Y15" s="84">
        <f>DATE(YEAR(Q15),MONTH(Q15)+1,1)</f>
        <v>45474</v>
      </c>
    </row>
    <row r="16" spans="2:24" ht="20.25" customHeight="1" thickBot="1">
      <c r="B16" s="38" t="s">
        <v>50</v>
      </c>
      <c r="C16" s="39" t="s">
        <v>51</v>
      </c>
      <c r="D16" s="39" t="s">
        <v>52</v>
      </c>
      <c r="E16" s="39" t="s">
        <v>53</v>
      </c>
      <c r="F16" s="39" t="s">
        <v>54</v>
      </c>
      <c r="G16" s="39" t="s">
        <v>55</v>
      </c>
      <c r="H16" s="38" t="s">
        <v>56</v>
      </c>
      <c r="I16" s="3"/>
      <c r="J16" s="38" t="s">
        <v>50</v>
      </c>
      <c r="K16" s="39" t="s">
        <v>51</v>
      </c>
      <c r="L16" s="39" t="s">
        <v>52</v>
      </c>
      <c r="M16" s="39" t="s">
        <v>53</v>
      </c>
      <c r="N16" s="39" t="s">
        <v>54</v>
      </c>
      <c r="O16" s="39" t="s">
        <v>55</v>
      </c>
      <c r="P16" s="38" t="s">
        <v>56</v>
      </c>
      <c r="Q16" s="3"/>
      <c r="R16" s="38" t="s">
        <v>50</v>
      </c>
      <c r="S16" s="39" t="s">
        <v>51</v>
      </c>
      <c r="T16" s="39" t="s">
        <v>52</v>
      </c>
      <c r="U16" s="39" t="s">
        <v>53</v>
      </c>
      <c r="V16" s="39" t="s">
        <v>54</v>
      </c>
      <c r="W16" s="39" t="s">
        <v>55</v>
      </c>
      <c r="X16" s="38" t="s">
        <v>56</v>
      </c>
    </row>
    <row r="17" spans="2:24" ht="27" customHeight="1" thickTop="1">
      <c r="B17" s="40">
        <f>IF(WEEKDAY(DATE(YEAR(I15),MONTH(I15),DAY(1)),1)=1,DATE(YEAR(I15),MONTH(I15),DAY(1)),"")</f>
      </c>
      <c r="C17" s="41">
        <f>IF(WEEKDAY(DATE(YEAR(I15),MONTH(I15),DAY(1)),1)=2,DATE(YEAR(I15),MONTH(I15),DAY(1)),IF(NOT(B17=""),B17+1,""))</f>
      </c>
      <c r="D17" s="41">
        <f>IF(WEEKDAY(DATE(YEAR(I15),MONTH(I15),DAY(1)),1)=3,DATE(YEAR(I15),MONTH(I15),DAY(1)),IF(NOT(C17=""),C17+1,""))</f>
      </c>
      <c r="E17" s="41">
        <f>IF(WEEKDAY(DATE(YEAR(I15),MONTH(I15),DAY(1)),1)=4,DATE(YEAR(I15),MONTH(I15),DAY(1)),IF(NOT(D17=""),D17+1,""))</f>
        <v>45413</v>
      </c>
      <c r="F17" s="41">
        <f>IF(WEEKDAY(DATE(YEAR(I15),MONTH(I15),DAY(1)),1)=5,DATE(YEAR(I15),MONTH(I15),DAY(1)),IF(NOT(E17=""),E17+1,""))</f>
        <v>45414</v>
      </c>
      <c r="G17" s="41">
        <f>IF(WEEKDAY(DATE(YEAR(I15),MONTH(I15),DAY(1)),1)=6,DATE(YEAR(I15),MONTH(I15),DAY(1)),IF(NOT(F17=""),F17+1,""))</f>
        <v>45415</v>
      </c>
      <c r="H17" s="42">
        <f>IF(WEEKDAY(DATE(YEAR(I15),MONTH(I15),DAY(1)),1)=7,DATE(YEAR(I15),MONTH(I15),DAY(1)),DATE(YEAR(G17),MONTH(G17),DAY(G17+1)))</f>
        <v>45416</v>
      </c>
      <c r="J17" s="40">
        <f>IF(WEEKDAY(DATE(YEAR(Q15),MONTH(Q15),DAY(1)),1)=1,DATE(YEAR(Q15),MONTH(Q15),DAY(1)),"")</f>
      </c>
      <c r="K17" s="41">
        <f>IF(WEEKDAY(DATE(YEAR(Q15),MONTH(Q15),DAY(1)),1)=2,DATE(YEAR(Q15),MONTH(Q15),DAY(1)),IF(NOT(J17=""),J17+1,""))</f>
      </c>
      <c r="L17" s="41">
        <f>IF(WEEKDAY(DATE(YEAR(Q15),MONTH(Q15),DAY(1)),1)=3,DATE(YEAR(Q15),MONTH(Q15),DAY(1)),IF(NOT(K17=""),K17+1,""))</f>
      </c>
      <c r="M17" s="41">
        <f>IF(WEEKDAY(DATE(YEAR(Q15),MONTH(Q15),DAY(1)),1)=4,DATE(YEAR(Q15),MONTH(Q15),DAY(1)),IF(NOT(L17=""),L17+1,""))</f>
      </c>
      <c r="N17" s="41">
        <f>IF(WEEKDAY(DATE(YEAR(Q15),MONTH(Q15),DAY(1)),1)=5,DATE(YEAR(Q15),MONTH(Q15),DAY(1)),IF(NOT(M17=""),M17+1,""))</f>
      </c>
      <c r="O17" s="41">
        <f>IF(WEEKDAY(DATE(YEAR(Q15),MONTH(Q15),DAY(1)),1)=6,DATE(YEAR(Q15),MONTH(Q15),DAY(1)),IF(NOT(N17=""),N17+1,""))</f>
      </c>
      <c r="P17" s="42">
        <f>IF(WEEKDAY(DATE(YEAR(Q15),MONTH(Q15),DAY(1)),1)=7,DATE(YEAR(Q15),MONTH(Q15),DAY(1)),DATE(YEAR(O17),MONTH(O17),DAY(O17+1)))</f>
        <v>45444</v>
      </c>
      <c r="R17" s="40">
        <f>IF(WEEKDAY(DATE(YEAR(Y15),MONTH(Y15),DAY(1)),1)=1,DATE(YEAR(Y15),MONTH(Y15),DAY(1)),"")</f>
      </c>
      <c r="S17" s="41">
        <f>IF(WEEKDAY(DATE(YEAR(Y15),MONTH(Y15),DAY(1)),1)=2,DATE(YEAR(Y15),MONTH(Y15),DAY(1)),IF(NOT(R17=""),R17+1,""))</f>
        <v>45474</v>
      </c>
      <c r="T17" s="41">
        <f>IF(WEEKDAY(DATE(YEAR(Y15),MONTH(Y15),DAY(1)),1)=3,DATE(YEAR(Y15),MONTH(Y15),DAY(1)),IF(NOT(S17=""),S17+1,""))</f>
        <v>45475</v>
      </c>
      <c r="U17" s="41">
        <f>IF(WEEKDAY(DATE(YEAR(Y15),MONTH(Y15),DAY(1)),1)=4,DATE(YEAR(Y15),MONTH(Y15),DAY(1)),IF(NOT(T17=""),T17+1,""))</f>
        <v>45476</v>
      </c>
      <c r="V17" s="41">
        <f>IF(WEEKDAY(DATE(YEAR(Y15),MONTH(Y15),DAY(1)),1)=5,DATE(YEAR(Y15),MONTH(Y15),DAY(1)),IF(NOT(U17=""),U17+1,""))</f>
        <v>45477</v>
      </c>
      <c r="W17" s="41">
        <f>IF(WEEKDAY(DATE(YEAR(Y15),MONTH(Y15),DAY(1)),1)=6,DATE(YEAR(Y15),MONTH(Y15),DAY(1)),IF(NOT(V17=""),V17+1,""))</f>
        <v>45478</v>
      </c>
      <c r="X17" s="42">
        <f>IF(WEEKDAY(DATE(YEAR(Y15),MONTH(Y15),DAY(1)),1)=7,DATE(YEAR(Y15),MONTH(Y15),DAY(1)),DATE(YEAR(W17),MONTH(W17),DAY(W17+1)))</f>
        <v>45479</v>
      </c>
    </row>
    <row r="18" spans="2:24" ht="27" customHeight="1">
      <c r="B18" s="32">
        <f>DATE(YEAR(H17),MONTH(H17),DAY(H17+1))</f>
        <v>45417</v>
      </c>
      <c r="C18" s="33">
        <f aca="true" t="shared" si="3" ref="C18:H20">DATE(YEAR(B18),MONTH(B18),DAY(B18+1))</f>
        <v>45418</v>
      </c>
      <c r="D18" s="33">
        <f t="shared" si="3"/>
        <v>45419</v>
      </c>
      <c r="E18" s="33">
        <f t="shared" si="3"/>
        <v>45420</v>
      </c>
      <c r="F18" s="33">
        <f t="shared" si="3"/>
        <v>45421</v>
      </c>
      <c r="G18" s="33">
        <f t="shared" si="3"/>
        <v>45422</v>
      </c>
      <c r="H18" s="34">
        <f t="shared" si="3"/>
        <v>45423</v>
      </c>
      <c r="J18" s="32">
        <f>DATE(YEAR(P17),MONTH(P17),DAY(P17+1))</f>
        <v>45445</v>
      </c>
      <c r="K18" s="33">
        <f aca="true" t="shared" si="4" ref="K18:P20">DATE(YEAR(J18),MONTH(J18),DAY(J18+1))</f>
        <v>45446</v>
      </c>
      <c r="L18" s="33">
        <f t="shared" si="4"/>
        <v>45447</v>
      </c>
      <c r="M18" s="33">
        <f t="shared" si="4"/>
        <v>45448</v>
      </c>
      <c r="N18" s="33">
        <f t="shared" si="4"/>
        <v>45449</v>
      </c>
      <c r="O18" s="33">
        <f t="shared" si="4"/>
        <v>45450</v>
      </c>
      <c r="P18" s="34">
        <f t="shared" si="4"/>
        <v>45451</v>
      </c>
      <c r="R18" s="32">
        <f>DATE(YEAR(X17),MONTH(X17),DAY(X17+1))</f>
        <v>45480</v>
      </c>
      <c r="S18" s="33">
        <f aca="true" t="shared" si="5" ref="S18:X20">DATE(YEAR(R18),MONTH(R18),DAY(R18+1))</f>
        <v>45481</v>
      </c>
      <c r="T18" s="33">
        <f t="shared" si="5"/>
        <v>45482</v>
      </c>
      <c r="U18" s="33">
        <f t="shared" si="5"/>
        <v>45483</v>
      </c>
      <c r="V18" s="33">
        <f t="shared" si="5"/>
        <v>45484</v>
      </c>
      <c r="W18" s="33">
        <f t="shared" si="5"/>
        <v>45485</v>
      </c>
      <c r="X18" s="34">
        <f t="shared" si="5"/>
        <v>45486</v>
      </c>
    </row>
    <row r="19" spans="2:24" ht="27" customHeight="1">
      <c r="B19" s="32">
        <f>DATE(YEAR(H18),MONTH(H18),DAY(H18+1))</f>
        <v>45424</v>
      </c>
      <c r="C19" s="33">
        <f t="shared" si="3"/>
        <v>45425</v>
      </c>
      <c r="D19" s="33">
        <f t="shared" si="3"/>
        <v>45426</v>
      </c>
      <c r="E19" s="33">
        <f t="shared" si="3"/>
        <v>45427</v>
      </c>
      <c r="F19" s="33">
        <f t="shared" si="3"/>
        <v>45428</v>
      </c>
      <c r="G19" s="33">
        <f t="shared" si="3"/>
        <v>45429</v>
      </c>
      <c r="H19" s="34">
        <f t="shared" si="3"/>
        <v>45430</v>
      </c>
      <c r="J19" s="32">
        <f>DATE(YEAR(P18),MONTH(P18),DAY(P18+1))</f>
        <v>45452</v>
      </c>
      <c r="K19" s="33">
        <f t="shared" si="4"/>
        <v>45453</v>
      </c>
      <c r="L19" s="33">
        <f t="shared" si="4"/>
        <v>45454</v>
      </c>
      <c r="M19" s="33">
        <f t="shared" si="4"/>
        <v>45455</v>
      </c>
      <c r="N19" s="33">
        <f t="shared" si="4"/>
        <v>45456</v>
      </c>
      <c r="O19" s="33">
        <f t="shared" si="4"/>
        <v>45457</v>
      </c>
      <c r="P19" s="34">
        <f t="shared" si="4"/>
        <v>45458</v>
      </c>
      <c r="R19" s="32">
        <f>DATE(YEAR(X18),MONTH(X18),DAY(X18+1))</f>
        <v>45487</v>
      </c>
      <c r="S19" s="33">
        <f t="shared" si="5"/>
        <v>45488</v>
      </c>
      <c r="T19" s="33">
        <f t="shared" si="5"/>
        <v>45489</v>
      </c>
      <c r="U19" s="33">
        <f t="shared" si="5"/>
        <v>45490</v>
      </c>
      <c r="V19" s="33">
        <f t="shared" si="5"/>
        <v>45491</v>
      </c>
      <c r="W19" s="33">
        <f t="shared" si="5"/>
        <v>45492</v>
      </c>
      <c r="X19" s="34">
        <f t="shared" si="5"/>
        <v>45493</v>
      </c>
    </row>
    <row r="20" spans="2:24" ht="27" customHeight="1">
      <c r="B20" s="32">
        <f>DATE(YEAR(H19),MONTH(H19),DAY(H19+1))</f>
        <v>45431</v>
      </c>
      <c r="C20" s="33">
        <f t="shared" si="3"/>
        <v>45432</v>
      </c>
      <c r="D20" s="33">
        <f t="shared" si="3"/>
        <v>45433</v>
      </c>
      <c r="E20" s="33">
        <f t="shared" si="3"/>
        <v>45434</v>
      </c>
      <c r="F20" s="33">
        <f t="shared" si="3"/>
        <v>45435</v>
      </c>
      <c r="G20" s="33">
        <f t="shared" si="3"/>
        <v>45436</v>
      </c>
      <c r="H20" s="34">
        <f t="shared" si="3"/>
        <v>45437</v>
      </c>
      <c r="J20" s="32">
        <f>DATE(YEAR(P19),MONTH(P19),DAY(P19+1))</f>
        <v>45459</v>
      </c>
      <c r="K20" s="33">
        <f t="shared" si="4"/>
        <v>45460</v>
      </c>
      <c r="L20" s="33">
        <f t="shared" si="4"/>
        <v>45461</v>
      </c>
      <c r="M20" s="33">
        <f t="shared" si="4"/>
        <v>45462</v>
      </c>
      <c r="N20" s="33">
        <f t="shared" si="4"/>
        <v>45463</v>
      </c>
      <c r="O20" s="33">
        <f t="shared" si="4"/>
        <v>45464</v>
      </c>
      <c r="P20" s="34">
        <f t="shared" si="4"/>
        <v>45465</v>
      </c>
      <c r="R20" s="32">
        <f>DATE(YEAR(X19),MONTH(X19),DAY(X19+1))</f>
        <v>45494</v>
      </c>
      <c r="S20" s="33">
        <f t="shared" si="5"/>
        <v>45495</v>
      </c>
      <c r="T20" s="33">
        <f t="shared" si="5"/>
        <v>45496</v>
      </c>
      <c r="U20" s="33">
        <f t="shared" si="5"/>
        <v>45497</v>
      </c>
      <c r="V20" s="33">
        <f t="shared" si="5"/>
        <v>45498</v>
      </c>
      <c r="W20" s="33">
        <f t="shared" si="5"/>
        <v>45499</v>
      </c>
      <c r="X20" s="34">
        <f t="shared" si="5"/>
        <v>45500</v>
      </c>
    </row>
    <row r="21" spans="2:24" ht="27" customHeight="1">
      <c r="B21" s="32">
        <f>IF(DAY(H17+22)=1,"",DATE(YEAR(H17),MONTH(H17),DAY(H17+22)))</f>
        <v>45438</v>
      </c>
      <c r="C21" s="33">
        <f>IF(DAY(H17+23)=1,"",IF(OR(NOT(MONTH(F14)=2),AND(MONTH(F14)=2,OR(MOD(YEAR(F14),400)=0,AND(MOD(YEAR(F14),4)=0,MOD(YEAR(F14),100)&lt;&gt;0)))),DATE(YEAR(B21),MONTH(B21),DAY(B21+1)),IF(AND(MONTH(F14)=2,OR(C17="",D17="")),DATE(YEAR(B21),MONTH(B21),DAY(B21+1)),"")))</f>
        <v>45439</v>
      </c>
      <c r="D21" s="33">
        <f>IF(OR(DAY(H17+23)=1,DAY(H17+24)=1),"",IF(OR(NOT(MONTH(F14)=2),AND(MONTH(F14)=2,OR(MOD(YEAR(F14),400)=0,AND(MOD(YEAR(F14),4)=0,MOD(YEAR(F14),100)&lt;&gt;0)))),DATE(YEAR(C21),MONTH(C21),DAY(C21+1)),IF(AND(MONTH(F14)=2,OR(C17="",D17="")),DATE(YEAR(C21),MONTH(C21),DAY(C21+1)),"")))</f>
        <v>45440</v>
      </c>
      <c r="E21" s="33">
        <f>IF(OR(DAY(H17+23)=1,DAY(H17+24)=1,DAY(H17+25)=1),"",IF(OR(NOT(MONTH(F14)=2),AND(MONTH(F14)=2,OR(MOD(YEAR(F14),400)=0,AND(MOD(YEAR(F14),4)=0,MOD(YEAR(F14),100)&lt;&gt;0)))),DATE(YEAR(D21),MONTH(D21),DAY(D21+1)),IF(AND(MONTH(F14)=2,OR(C17="",D17="")),DATE(YEAR(D21),MONTH(D21),DAY(D21+1)),"")))</f>
        <v>45441</v>
      </c>
      <c r="F21" s="33">
        <f>IF(OR(DAY(H17+23)=1,DAY(H17+24)=1,DAY(H17+25)=1,DAY(H17+26)=1),"",IF(OR(NOT(MONTH(F14)=2),AND(MONTH(F14)=2,OR(MOD(YEAR(F14),400)=0,AND(MOD(YEAR(F14),4)=0,MOD(YEAR(F14),100)&lt;&gt;0)))),DATE(YEAR(E21),MONTH(E21),DAY(E21+1)),IF(AND(MONTH(F14)=2,OR(C17="",D17="")),DATE(YEAR(E21),MONTH(E21),DAY(E21+1)),"")))</f>
        <v>45442</v>
      </c>
      <c r="G21" s="33">
        <f>IF(OR(DAY(H17+23)=1,DAY(H17+24)=1,DAY(H17+25)=1,DAY(H17+26)=1,DAY(H17+27)=1),"",IF(OR(NOT(MONTH(F14)=2),AND(MONTH(F14)=2,OR(MOD(YEAR(F14),400)=0,AND(MOD(YEAR(F14),4)=0,MOD(YEAR(F14),100)&lt;&gt;0)))),DATE(YEAR(F21),MONTH(F21),DAY(F21+1)),IF(AND(MONTH(F14)=2,OR(C17="",D17="")),DATE(YEAR(F21),MONTH(F21),DAY(F21+1)),"")))</f>
        <v>45443</v>
      </c>
      <c r="H21" s="34">
        <f>IF(OR(DAY(H17+23)=1,DAY(H17+24)=1,DAY(H17+25)=1,DAY(H17+26)=1,DAY(H17+27)=1,DAY(H17+28)=1),"",IF(OR(NOT(MONTH(F14)=2),AND(MONTH(F14)=2,OR(MOD(YEAR(F14),400)=0,AND(MOD(YEAR(F14),4)=0,MOD(YEAR(F14),100)&lt;&gt;0)))),DATE(YEAR(G21),MONTH(G21),DAY(G21+1)),IF(AND(MONTH(F14)=2,OR(C17="",D17="")),DATE(YEAR(G21),MONTH(G21),DAY(G21+1)),"")))</f>
      </c>
      <c r="J21" s="32">
        <f>IF(DAY(P17+22)=1,"",DATE(YEAR(P17),MONTH(P17),DAY(P17+22)))</f>
        <v>45466</v>
      </c>
      <c r="K21" s="33">
        <f>IF(DAY(P17+23)=1,"",IF(OR(NOT(MONTH(N14)=2),AND(MONTH(N14)=2,OR(MOD(YEAR(N14),400)=0,AND(MOD(YEAR(N14),4)=0,MOD(YEAR(N14),100)&lt;&gt;0)))),DATE(YEAR(J21),MONTH(J21),DAY(J21+1)),IF(AND(MONTH(N14)=2,OR(K17="",L17="")),DATE(YEAR(J21),MONTH(J21),DAY(J21+1)),"")))</f>
        <v>45467</v>
      </c>
      <c r="L21" s="33">
        <f>IF(OR(DAY(P17+23)=1,DAY(P17+24)=1),"",IF(OR(NOT(MONTH(N14)=2),AND(MONTH(N14)=2,OR(MOD(YEAR(N14),400)=0,AND(MOD(YEAR(N14),4)=0,MOD(YEAR(N14),100)&lt;&gt;0)))),DATE(YEAR(K21),MONTH(K21),DAY(K21+1)),IF(AND(MONTH(N14)=2,OR(K17="",L17="")),DATE(YEAR(K21),MONTH(K21),DAY(K21+1)),"")))</f>
        <v>45468</v>
      </c>
      <c r="M21" s="33">
        <f>IF(OR(DAY(P17+23)=1,DAY(P17+24)=1,DAY(P17+25)=1),"",IF(OR(NOT(MONTH(N14)=2),AND(MONTH(N14)=2,OR(MOD(YEAR(N14),400)=0,AND(MOD(YEAR(N14),4)=0,MOD(YEAR(N14),100)&lt;&gt;0)))),DATE(YEAR(L21),MONTH(L21),DAY(L21+1)),IF(AND(MONTH(N14)=2,OR(K17="",L17="")),DATE(YEAR(L21),MONTH(L21),DAY(L21+1)),"")))</f>
        <v>45469</v>
      </c>
      <c r="N21" s="33">
        <f>IF(OR(DAY(P17+23)=1,DAY(P17+24)=1,DAY(P17+25)=1,DAY(P17+26)=1),"",IF(OR(NOT(MONTH(N14)=2),AND(MONTH(N14)=2,OR(MOD(YEAR(N14),400)=0,AND(MOD(YEAR(N14),4)=0,MOD(YEAR(N14),100)&lt;&gt;0)))),DATE(YEAR(M21),MONTH(M21),DAY(M21+1)),IF(AND(MONTH(N14)=2,OR(K17="",L17="")),DATE(YEAR(M21),MONTH(M21),DAY(M21+1)),"")))</f>
        <v>45470</v>
      </c>
      <c r="O21" s="33">
        <f>IF(OR(DAY(P17+23)=1,DAY(P17+24)=1,DAY(P17+25)=1,DAY(P17+26)=1,DAY(P17+27)=1),"",IF(OR(NOT(MONTH(N14)=2),AND(MONTH(N14)=2,OR(MOD(YEAR(N14),400)=0,AND(MOD(YEAR(N14),4)=0,MOD(YEAR(N14),100)&lt;&gt;0)))),DATE(YEAR(N21),MONTH(N21),DAY(N21+1)),IF(AND(MONTH(N14)=2,OR(K17="",L17="")),DATE(YEAR(N21),MONTH(N21),DAY(N21+1)),"")))</f>
        <v>45471</v>
      </c>
      <c r="P21" s="34">
        <f>IF(OR(DAY(P17+23)=1,DAY(P17+24)=1,DAY(P17+25)=1,DAY(P17+26)=1,DAY(P17+27)=1,DAY(P17+28)=1),"",IF(OR(NOT(MONTH(N14)=2),AND(MONTH(N14)=2,OR(MOD(YEAR(N14),400)=0,AND(MOD(YEAR(N14),4)=0,MOD(YEAR(N14),100)&lt;&gt;0)))),DATE(YEAR(O21),MONTH(O21),DAY(O21+1)),IF(AND(MONTH(N14)=2,OR(K17="",L17="")),DATE(YEAR(O21),MONTH(O21),DAY(O21+1)),"")))</f>
        <v>45472</v>
      </c>
      <c r="R21" s="32">
        <f>IF(DAY(X17+22)=1,"",DATE(YEAR(X17),MONTH(X17),DAY(X17+22)))</f>
        <v>45501</v>
      </c>
      <c r="S21" s="33">
        <f>IF(DAY(X17+23)=1,"",IF(OR(NOT(MONTH(V14)=2),AND(MONTH(V14)=2,OR(MOD(YEAR(V14),400)=0,AND(MOD(YEAR(V14),4)=0,MOD(YEAR(V14),100)&lt;&gt;0)))),DATE(YEAR(R21),MONTH(R21),DAY(R21+1)),IF(AND(MONTH(V14)=2,OR(S17="",T17="")),DATE(YEAR(R21),MONTH(R21),DAY(R21+1)),"")))</f>
        <v>45502</v>
      </c>
      <c r="T21" s="33">
        <f>IF(OR(DAY(X17+23)=1,DAY(X17+24)=1),"",IF(OR(NOT(MONTH(V14)=2),AND(MONTH(V14)=2,OR(MOD(YEAR(V14),400)=0,AND(MOD(YEAR(V14),4)=0,MOD(YEAR(V14),100)&lt;&gt;0)))),DATE(YEAR(S21),MONTH(S21),DAY(S21+1)),IF(AND(MONTH(V14)=2,OR(S17="",T17="")),DATE(YEAR(S21),MONTH(S21),DAY(S21+1)),"")))</f>
        <v>45503</v>
      </c>
      <c r="U21" s="33">
        <f>IF(OR(DAY(X17+23)=1,DAY(X17+24)=1,DAY(X17+25)=1),"",IF(OR(NOT(MONTH(V14)=2),AND(MONTH(V14)=2,OR(MOD(YEAR(V14),400)=0,AND(MOD(YEAR(V14),4)=0,MOD(YEAR(V14),100)&lt;&gt;0)))),DATE(YEAR(T21),MONTH(T21),DAY(T21+1)),IF(AND(MONTH(V14)=2,OR(S17="",T17="")),DATE(YEAR(T21),MONTH(T21),DAY(T21+1)),"")))</f>
        <v>45504</v>
      </c>
      <c r="V21" s="33">
        <f>IF(OR(DAY(X17+23)=1,DAY(X17+24)=1,DAY(X17+25)=1,DAY(X17+26)=1),"",IF(OR(NOT(MONTH(V14)=2),AND(MONTH(V14)=2,OR(MOD(YEAR(V14),400)=0,AND(MOD(YEAR(V14),4)=0,MOD(YEAR(V14),100)&lt;&gt;0)))),DATE(YEAR(U21),MONTH(U21),DAY(U21+1)),IF(AND(MONTH(V14)=2,OR(S17="",T17="")),DATE(YEAR(U21),MONTH(U21),DAY(U21+1)),"")))</f>
      </c>
      <c r="W21" s="33">
        <f>IF(OR(DAY(X17+23)=1,DAY(X17+24)=1,DAY(X17+25)=1,DAY(X17+26)=1,DAY(X17+27)=1),"",IF(OR(NOT(MONTH(V14)=2),AND(MONTH(V14)=2,OR(MOD(YEAR(V14),400)=0,AND(MOD(YEAR(V14),4)=0,MOD(YEAR(V14),100)&lt;&gt;0)))),DATE(YEAR(V21),MONTH(V21),DAY(V21+1)),IF(AND(MONTH(V14)=2,OR(S17="",T17="")),DATE(YEAR(V21),MONTH(V21),DAY(V21+1)),"")))</f>
      </c>
      <c r="X21" s="34">
        <f>IF(OR(DAY(X17+23)=1,DAY(X17+24)=1,DAY(X17+25)=1,DAY(X17+26)=1,DAY(X17+27)=1,DAY(X17+28)=1),"",IF(OR(NOT(MONTH(V14)=2),AND(MONTH(V14)=2,OR(MOD(YEAR(V14),400)=0,AND(MOD(YEAR(V14),4)=0,MOD(YEAR(V14),100)&lt;&gt;0)))),DATE(YEAR(W21),MONTH(W21),DAY(W21+1)),IF(AND(MONTH(V14)=2,OR(S17="",T17="")),DATE(YEAR(W21),MONTH(W21),DAY(W21+1)),"")))</f>
      </c>
    </row>
    <row r="22" spans="2:24" ht="27" customHeight="1" thickBot="1">
      <c r="B22" s="35">
        <f>IF(OR(DAY(H17+24)=1,DAY(H17+25)=1,DAY(H17+26)=1,DAY(H17+27)=1,DAY(H17+28)=1,DAY(H17+29)=1),"",IF(MONTH(H17)=2,"",DATE(YEAR(H21),MONTH(H21),DAY(H21+1))))</f>
      </c>
      <c r="C22" s="36">
        <f>IF(OR(DAY(H17+24)=1,DAY(H17+25)=1,DAY(H17+26)=1,DAY(H17+27)=1,DAY(H17+28)=1,DAY(H17+29)=1,DAY(H17+30)=1),"",IF(OR(MONTH(H17)=2,MONTH(F14)=4,MONTH(F14)=6,MONTH(F14)=9,MONTH(F14)=11),"",DATE(YEAR(B22),MONTH(B22),DAY(B22+1))))</f>
      </c>
      <c r="D22" s="36"/>
      <c r="E22" s="36"/>
      <c r="F22" s="36"/>
      <c r="G22" s="36"/>
      <c r="H22" s="37"/>
      <c r="J22" s="35">
        <f>IF(OR(DAY(P17+24)=1,DAY(P17+25)=1,DAY(P17+26)=1,DAY(P17+27)=1,DAY(P17+28)=1,DAY(P17+29)=1),"",IF(MONTH(P17)=2,"",DATE(YEAR(P21),MONTH(P21),DAY(P21+1))))</f>
        <v>45473</v>
      </c>
      <c r="K22" s="36">
        <f>IF(OR(DAY(P17+24)=1,DAY(P17+25)=1,DAY(P17+26)=1,DAY(P17+27)=1,DAY(P17+28)=1,DAY(P17+29)=1,DAY(P17+30)=1),"",IF(OR(MONTH(P17)=2,MONTH(N14)=4,MONTH(N14)=6,MONTH(N14)=9,MONTH(N14)=11),"",DATE(YEAR(J22),MONTH(J22),DAY(J22+1))))</f>
      </c>
      <c r="L22" s="36"/>
      <c r="M22" s="36"/>
      <c r="N22" s="36"/>
      <c r="O22" s="36"/>
      <c r="P22" s="37"/>
      <c r="R22" s="35">
        <f>IF(OR(DAY(X17+24)=1,DAY(X17+25)=1,DAY(X17+26)=1,DAY(X17+27)=1,DAY(X17+28)=1,DAY(X17+29)=1),"",IF(MONTH(X17)=2,"",DATE(YEAR(X21),MONTH(X21),DAY(X21+1))))</f>
      </c>
      <c r="S22" s="36">
        <f>IF(OR(DAY(X17+24)=1,DAY(X17+25)=1,DAY(X17+26)=1,DAY(X17+27)=1,DAY(X17+28)=1,DAY(X17+29)=1,DAY(X17+30)=1),"",IF(OR(MONTH(X17)=2,MONTH(V14)=4,MONTH(V14)=6,MONTH(V14)=9,MONTH(V14)=11),"",DATE(YEAR(R22),MONTH(R22),DAY(R22+1))))</f>
      </c>
      <c r="T22" s="36"/>
      <c r="U22" s="36"/>
      <c r="V22" s="36"/>
      <c r="W22" s="36"/>
      <c r="X22" s="37"/>
    </row>
    <row r="23" ht="9" customHeight="1" thickTop="1"/>
    <row r="24" spans="2:27" ht="20.25" customHeight="1" thickBot="1">
      <c r="B24" s="186">
        <f>IF(MONTH(Y15)=12,TEXT(DATE(YEAR(Y15)+1,1,1),"mmm yyyy"),DATE(YEAR(Y15),MONTH(Y15)+1,1))</f>
        <v>45505</v>
      </c>
      <c r="C24" s="186"/>
      <c r="D24" s="186"/>
      <c r="E24" s="186"/>
      <c r="F24" s="186"/>
      <c r="G24" s="186"/>
      <c r="H24" s="186"/>
      <c r="I24" s="85">
        <f>DATE(YEAR(Y15),MONTH(Y15)+1,1)</f>
        <v>45505</v>
      </c>
      <c r="J24" s="186">
        <f>IF(MONTH(I24)=12,TEXT(DATE(YEAR(I24)+1,1,1),"mmm yyyy"),DATE(YEAR(I24),MONTH(I24)+1,1))</f>
        <v>45536</v>
      </c>
      <c r="K24" s="186"/>
      <c r="L24" s="186"/>
      <c r="M24" s="186"/>
      <c r="N24" s="186"/>
      <c r="O24" s="186"/>
      <c r="P24" s="186"/>
      <c r="Q24" s="85">
        <f>DATE(YEAR(I24),MONTH(I24)+1,1)</f>
        <v>45536</v>
      </c>
      <c r="R24" s="186">
        <f>IF(MONTH(Q24)=12,CONCATENATE("Jan ",YEAR(Q24)+1),DATE(YEAR(Q24),MONTH(Q24)+1,1))</f>
        <v>45566</v>
      </c>
      <c r="S24" s="186"/>
      <c r="T24" s="186"/>
      <c r="U24" s="186"/>
      <c r="V24" s="186"/>
      <c r="W24" s="186"/>
      <c r="X24" s="186"/>
      <c r="Y24" s="86">
        <f>IF(MONTH(Q24)=12,DATE(YEAR(Q24)+1,MONTH(Q24)-11,1),DATE(YEAR(Q24),MONTH(Q24)+1,1))</f>
        <v>45566</v>
      </c>
      <c r="Z24" s="86"/>
      <c r="AA24" s="86"/>
    </row>
    <row r="25" spans="2:24" ht="20.25" customHeight="1" thickBot="1">
      <c r="B25" s="38" t="s">
        <v>50</v>
      </c>
      <c r="C25" s="39" t="s">
        <v>51</v>
      </c>
      <c r="D25" s="39" t="s">
        <v>52</v>
      </c>
      <c r="E25" s="39" t="s">
        <v>53</v>
      </c>
      <c r="F25" s="39" t="s">
        <v>54</v>
      </c>
      <c r="G25" s="39" t="s">
        <v>55</v>
      </c>
      <c r="H25" s="38" t="s">
        <v>56</v>
      </c>
      <c r="I25" s="3"/>
      <c r="J25" s="38" t="s">
        <v>50</v>
      </c>
      <c r="K25" s="39" t="s">
        <v>51</v>
      </c>
      <c r="L25" s="39" t="s">
        <v>52</v>
      </c>
      <c r="M25" s="39" t="s">
        <v>53</v>
      </c>
      <c r="N25" s="39" t="s">
        <v>54</v>
      </c>
      <c r="O25" s="39" t="s">
        <v>55</v>
      </c>
      <c r="P25" s="38" t="s">
        <v>56</v>
      </c>
      <c r="Q25" s="3"/>
      <c r="R25" s="38" t="s">
        <v>50</v>
      </c>
      <c r="S25" s="39" t="s">
        <v>51</v>
      </c>
      <c r="T25" s="39" t="s">
        <v>52</v>
      </c>
      <c r="U25" s="39" t="s">
        <v>53</v>
      </c>
      <c r="V25" s="39" t="s">
        <v>54</v>
      </c>
      <c r="W25" s="39" t="s">
        <v>55</v>
      </c>
      <c r="X25" s="38" t="s">
        <v>56</v>
      </c>
    </row>
    <row r="26" spans="2:24" ht="27" customHeight="1" thickTop="1">
      <c r="B26" s="40">
        <f>IF(WEEKDAY(DATE(YEAR(I24),MONTH(I24),DAY(1)),1)=1,DATE(YEAR(I24),MONTH(I24),DAY(1)),"")</f>
      </c>
      <c r="C26" s="41">
        <f>IF(WEEKDAY(DATE(YEAR(I24),MONTH(I24),DAY(1)),1)=2,DATE(YEAR(I24),MONTH(I24),DAY(1)),IF(NOT(B26=""),B26+1,""))</f>
      </c>
      <c r="D26" s="41">
        <f>IF(WEEKDAY(DATE(YEAR(I24),MONTH(I24),DAY(1)),1)=3,DATE(YEAR(I24),MONTH(I24),DAY(1)),IF(NOT(C26=""),C26+1,""))</f>
      </c>
      <c r="E26" s="41">
        <f>IF(WEEKDAY(DATE(YEAR(I24),MONTH(I24),DAY(1)),1)=4,DATE(YEAR(I24),MONTH(I24),DAY(1)),IF(NOT(D26=""),D26+1,""))</f>
      </c>
      <c r="F26" s="41">
        <f>IF(WEEKDAY(DATE(YEAR(I24),MONTH(I24),DAY(1)),1)=5,DATE(YEAR(I24),MONTH(I24),DAY(1)),IF(NOT(E26=""),E26+1,""))</f>
        <v>45505</v>
      </c>
      <c r="G26" s="41">
        <f>IF(WEEKDAY(DATE(YEAR(I24),MONTH(I24),DAY(1)),1)=6,DATE(YEAR(I24),MONTH(I24),DAY(1)),IF(NOT(F26=""),F26+1,""))</f>
        <v>45506</v>
      </c>
      <c r="H26" s="42">
        <f>IF(WEEKDAY(DATE(YEAR(I24),MONTH(I24),DAY(1)),1)=7,DATE(YEAR(I24),MONTH(I24),DAY(1)),DATE(YEAR(G26),MONTH(G26),DAY(G26+1)))</f>
        <v>45507</v>
      </c>
      <c r="J26" s="40">
        <f>IF(WEEKDAY(DATE(YEAR(Q24),MONTH(Q24),DAY(1)),1)=1,DATE(YEAR(Q24),MONTH(Q24),DAY(1)),"")</f>
        <v>45536</v>
      </c>
      <c r="K26" s="41">
        <f>IF(WEEKDAY(DATE(YEAR(Q24),MONTH(Q24),DAY(1)),1)=2,DATE(YEAR(Q24),MONTH(Q24),DAY(1)),IF(NOT(J26=""),J26+1,""))</f>
        <v>45537</v>
      </c>
      <c r="L26" s="41">
        <f>IF(WEEKDAY(DATE(YEAR(Q24),MONTH(Q24),DAY(1)),1)=3,DATE(YEAR(Q24),MONTH(Q24),DAY(1)),IF(NOT(K26=""),K26+1,""))</f>
        <v>45538</v>
      </c>
      <c r="M26" s="41">
        <f>IF(WEEKDAY(DATE(YEAR(Q24),MONTH(Q24),DAY(1)),1)=4,DATE(YEAR(Q24),MONTH(Q24),DAY(1)),IF(NOT(L26=""),L26+1,""))</f>
        <v>45539</v>
      </c>
      <c r="N26" s="41">
        <f>IF(WEEKDAY(DATE(YEAR(Q24),MONTH(Q24),DAY(1)),1)=5,DATE(YEAR(Q24),MONTH(Q24),DAY(1)),IF(NOT(M26=""),M26+1,""))</f>
        <v>45540</v>
      </c>
      <c r="O26" s="41">
        <f>IF(WEEKDAY(DATE(YEAR(Q24),MONTH(Q24),DAY(1)),1)=6,DATE(YEAR(Q24),MONTH(Q24),DAY(1)),IF(NOT(N26=""),N26+1,""))</f>
        <v>45541</v>
      </c>
      <c r="P26" s="42">
        <f>IF(WEEKDAY(DATE(YEAR(Q24),MONTH(Q24),DAY(1)),1)=7,DATE(YEAR(Q24),MONTH(Q24),DAY(1)),DATE(YEAR(O26),MONTH(O26),DAY(O26+1)))</f>
        <v>45542</v>
      </c>
      <c r="R26" s="40">
        <f>IF(WEEKDAY(DATE(YEAR(Y24),MONTH(Y24),DAY(1)),1)=1,DATE(YEAR(Y24),MONTH(Y24),DAY(1)),"")</f>
      </c>
      <c r="S26" s="41">
        <f>IF(WEEKDAY(DATE(YEAR(Y24),MONTH(Y24),DAY(1)),1)=2,DATE(YEAR(Y24),MONTH(Y24),DAY(1)),IF(NOT(R26=""),R26+1,""))</f>
      </c>
      <c r="T26" s="41">
        <f>IF(WEEKDAY(DATE(YEAR(Y24),MONTH(Y24),DAY(1)),1)=3,DATE(YEAR(Y24),MONTH(Y24),DAY(1)),IF(NOT(S26=""),S26+1,""))</f>
        <v>45566</v>
      </c>
      <c r="U26" s="41">
        <f>IF(WEEKDAY(DATE(YEAR(Y24),MONTH(Y24),DAY(1)),1)=4,DATE(YEAR(Y24),MONTH(Y24),DAY(1)),IF(NOT(T26=""),T26+1,""))</f>
        <v>45567</v>
      </c>
      <c r="V26" s="41">
        <f>IF(WEEKDAY(DATE(YEAR(Y24),MONTH(Y24),DAY(1)),1)=5,DATE(YEAR(Y24),MONTH(Y24),DAY(1)),IF(NOT(U26=""),U26+1,""))</f>
        <v>45568</v>
      </c>
      <c r="W26" s="41">
        <f>IF(WEEKDAY(DATE(YEAR(Y24),MONTH(Y24),DAY(1)),1)=6,DATE(YEAR(Y24),MONTH(Y24),DAY(1)),IF(NOT(V26=""),V26+1,""))</f>
        <v>45569</v>
      </c>
      <c r="X26" s="42">
        <f>IF(WEEKDAY(DATE(YEAR(Y24),MONTH(Y24),DAY(1)),1)=7,DATE(YEAR(Y24),MONTH(Y24),DAY(1)),DATE(YEAR(W26),MONTH(W26),DAY(W26+1)))</f>
        <v>45570</v>
      </c>
    </row>
    <row r="27" spans="2:24" ht="27" customHeight="1">
      <c r="B27" s="32">
        <f>DATE(YEAR(H26),MONTH(H26),DAY(H26+1))</f>
        <v>45508</v>
      </c>
      <c r="C27" s="33">
        <f aca="true" t="shared" si="6" ref="C27:H29">DATE(YEAR(B27),MONTH(B27),DAY(B27+1))</f>
        <v>45509</v>
      </c>
      <c r="D27" s="33">
        <f t="shared" si="6"/>
        <v>45510</v>
      </c>
      <c r="E27" s="33">
        <f t="shared" si="6"/>
        <v>45511</v>
      </c>
      <c r="F27" s="33">
        <f t="shared" si="6"/>
        <v>45512</v>
      </c>
      <c r="G27" s="33">
        <f t="shared" si="6"/>
        <v>45513</v>
      </c>
      <c r="H27" s="34">
        <f t="shared" si="6"/>
        <v>45514</v>
      </c>
      <c r="J27" s="32">
        <f>DATE(YEAR(P26),MONTH(P26),DAY(P26+1))</f>
        <v>45543</v>
      </c>
      <c r="K27" s="33">
        <f aca="true" t="shared" si="7" ref="K27:P29">DATE(YEAR(J27),MONTH(J27),DAY(J27+1))</f>
        <v>45544</v>
      </c>
      <c r="L27" s="33">
        <f t="shared" si="7"/>
        <v>45545</v>
      </c>
      <c r="M27" s="33">
        <f t="shared" si="7"/>
        <v>45546</v>
      </c>
      <c r="N27" s="33">
        <f t="shared" si="7"/>
        <v>45547</v>
      </c>
      <c r="O27" s="33">
        <f t="shared" si="7"/>
        <v>45548</v>
      </c>
      <c r="P27" s="34">
        <f t="shared" si="7"/>
        <v>45549</v>
      </c>
      <c r="R27" s="32">
        <f>DATE(YEAR(X26),MONTH(X26),DAY(X26+1))</f>
        <v>45571</v>
      </c>
      <c r="S27" s="33">
        <f aca="true" t="shared" si="8" ref="S27:X29">DATE(YEAR(R27),MONTH(R27),DAY(R27+1))</f>
        <v>45572</v>
      </c>
      <c r="T27" s="33">
        <f t="shared" si="8"/>
        <v>45573</v>
      </c>
      <c r="U27" s="33">
        <f t="shared" si="8"/>
        <v>45574</v>
      </c>
      <c r="V27" s="33">
        <f t="shared" si="8"/>
        <v>45575</v>
      </c>
      <c r="W27" s="33">
        <f t="shared" si="8"/>
        <v>45576</v>
      </c>
      <c r="X27" s="34">
        <f t="shared" si="8"/>
        <v>45577</v>
      </c>
    </row>
    <row r="28" spans="2:24" ht="27" customHeight="1">
      <c r="B28" s="32">
        <f>DATE(YEAR(H27),MONTH(H27),DAY(H27+1))</f>
        <v>45515</v>
      </c>
      <c r="C28" s="33">
        <f t="shared" si="6"/>
        <v>45516</v>
      </c>
      <c r="D28" s="33">
        <f t="shared" si="6"/>
        <v>45517</v>
      </c>
      <c r="E28" s="33">
        <f t="shared" si="6"/>
        <v>45518</v>
      </c>
      <c r="F28" s="33">
        <f t="shared" si="6"/>
        <v>45519</v>
      </c>
      <c r="G28" s="33">
        <f t="shared" si="6"/>
        <v>45520</v>
      </c>
      <c r="H28" s="34">
        <f t="shared" si="6"/>
        <v>45521</v>
      </c>
      <c r="J28" s="32">
        <f>DATE(YEAR(P27),MONTH(P27),DAY(P27+1))</f>
        <v>45550</v>
      </c>
      <c r="K28" s="33">
        <f t="shared" si="7"/>
        <v>45551</v>
      </c>
      <c r="L28" s="33">
        <f t="shared" si="7"/>
        <v>45552</v>
      </c>
      <c r="M28" s="33">
        <f t="shared" si="7"/>
        <v>45553</v>
      </c>
      <c r="N28" s="33">
        <f t="shared" si="7"/>
        <v>45554</v>
      </c>
      <c r="O28" s="33">
        <f t="shared" si="7"/>
        <v>45555</v>
      </c>
      <c r="P28" s="34">
        <f t="shared" si="7"/>
        <v>45556</v>
      </c>
      <c r="R28" s="32">
        <f>DATE(YEAR(X27),MONTH(X27),DAY(X27+1))</f>
        <v>45578</v>
      </c>
      <c r="S28" s="33">
        <f t="shared" si="8"/>
        <v>45579</v>
      </c>
      <c r="T28" s="33">
        <f t="shared" si="8"/>
        <v>45580</v>
      </c>
      <c r="U28" s="33">
        <f t="shared" si="8"/>
        <v>45581</v>
      </c>
      <c r="V28" s="33">
        <f t="shared" si="8"/>
        <v>45582</v>
      </c>
      <c r="W28" s="33">
        <f t="shared" si="8"/>
        <v>45583</v>
      </c>
      <c r="X28" s="34">
        <f t="shared" si="8"/>
        <v>45584</v>
      </c>
    </row>
    <row r="29" spans="2:24" ht="27" customHeight="1">
      <c r="B29" s="32">
        <f>DATE(YEAR(H28),MONTH(H28),DAY(H28+1))</f>
        <v>45522</v>
      </c>
      <c r="C29" s="33">
        <f t="shared" si="6"/>
        <v>45523</v>
      </c>
      <c r="D29" s="33">
        <f t="shared" si="6"/>
        <v>45524</v>
      </c>
      <c r="E29" s="33">
        <f t="shared" si="6"/>
        <v>45525</v>
      </c>
      <c r="F29" s="33">
        <f t="shared" si="6"/>
        <v>45526</v>
      </c>
      <c r="G29" s="33">
        <f t="shared" si="6"/>
        <v>45527</v>
      </c>
      <c r="H29" s="34">
        <f t="shared" si="6"/>
        <v>45528</v>
      </c>
      <c r="J29" s="32">
        <f>DATE(YEAR(P28),MONTH(P28),DAY(P28+1))</f>
        <v>45557</v>
      </c>
      <c r="K29" s="33">
        <f t="shared" si="7"/>
        <v>45558</v>
      </c>
      <c r="L29" s="33">
        <f t="shared" si="7"/>
        <v>45559</v>
      </c>
      <c r="M29" s="33">
        <f t="shared" si="7"/>
        <v>45560</v>
      </c>
      <c r="N29" s="33">
        <f t="shared" si="7"/>
        <v>45561</v>
      </c>
      <c r="O29" s="33">
        <f t="shared" si="7"/>
        <v>45562</v>
      </c>
      <c r="P29" s="34">
        <f t="shared" si="7"/>
        <v>45563</v>
      </c>
      <c r="R29" s="32">
        <f>DATE(YEAR(X28),MONTH(X28),DAY(X28+1))</f>
        <v>45585</v>
      </c>
      <c r="S29" s="33">
        <f t="shared" si="8"/>
        <v>45586</v>
      </c>
      <c r="T29" s="33">
        <f t="shared" si="8"/>
        <v>45587</v>
      </c>
      <c r="U29" s="33">
        <f t="shared" si="8"/>
        <v>45588</v>
      </c>
      <c r="V29" s="33">
        <f t="shared" si="8"/>
        <v>45589</v>
      </c>
      <c r="W29" s="33">
        <f t="shared" si="8"/>
        <v>45590</v>
      </c>
      <c r="X29" s="34">
        <f t="shared" si="8"/>
        <v>45591</v>
      </c>
    </row>
    <row r="30" spans="2:24" ht="27" customHeight="1">
      <c r="B30" s="32">
        <f>IF(DAY(H26+22)=1,"",DATE(YEAR(H26),MONTH(H26),DAY(H26+22)))</f>
        <v>45529</v>
      </c>
      <c r="C30" s="33">
        <f>IF(DAY(H26+23)=1,"",IF(OR(NOT(MONTH(F23)=2),AND(MONTH(F23)=2,OR(MOD(YEAR(F23),400)=0,AND(MOD(YEAR(F23),4)=0,MOD(YEAR(F23),100)&lt;&gt;0)))),DATE(YEAR(B30),MONTH(B30),DAY(B30+1)),IF(AND(MONTH(F23)=2,OR(C26="",D26="")),DATE(YEAR(B30),MONTH(B30),DAY(B30+1)),"")))</f>
        <v>45530</v>
      </c>
      <c r="D30" s="33">
        <f>IF(OR(DAY(H26+23)=1,DAY(H26+24)=1),"",IF(OR(NOT(MONTH(F23)=2),AND(MONTH(F23)=2,OR(MOD(YEAR(F23),400)=0,AND(MOD(YEAR(F23),4)=0,MOD(YEAR(F23),100)&lt;&gt;0)))),DATE(YEAR(C30),MONTH(C30),DAY(C30+1)),IF(AND(MONTH(F23)=2,OR(C26="",D26="")),DATE(YEAR(C30),MONTH(C30),DAY(C30+1)),"")))</f>
        <v>45531</v>
      </c>
      <c r="E30" s="33">
        <f>IF(OR(DAY(H26+23)=1,DAY(H26+24)=1,DAY(H26+25)=1),"",IF(OR(NOT(MONTH(F23)=2),AND(MONTH(F23)=2,OR(MOD(YEAR(F23),400)=0,AND(MOD(YEAR(F23),4)=0,MOD(YEAR(F23),100)&lt;&gt;0)))),DATE(YEAR(D30),MONTH(D30),DAY(D30+1)),IF(AND(MONTH(F23)=2,OR(C26="",D26="")),DATE(YEAR(D30),MONTH(D30),DAY(D30+1)),"")))</f>
        <v>45532</v>
      </c>
      <c r="F30" s="33">
        <f>IF(OR(DAY(H26+23)=1,DAY(H26+24)=1,DAY(H26+25)=1,DAY(H26+26)=1),"",IF(OR(NOT(MONTH(F23)=2),AND(MONTH(F23)=2,OR(MOD(YEAR(F23),400)=0,AND(MOD(YEAR(F23),4)=0,MOD(YEAR(F23),100)&lt;&gt;0)))),DATE(YEAR(E30),MONTH(E30),DAY(E30+1)),IF(AND(MONTH(F23)=2,OR(C26="",D26="")),DATE(YEAR(E30),MONTH(E30),DAY(E30+1)),"")))</f>
        <v>45533</v>
      </c>
      <c r="G30" s="33">
        <f>IF(OR(DAY(H26+23)=1,DAY(H26+24)=1,DAY(H26+25)=1,DAY(H26+26)=1,DAY(H26+27)=1),"",IF(OR(NOT(MONTH(F23)=2),AND(MONTH(F23)=2,OR(MOD(YEAR(F23),400)=0,AND(MOD(YEAR(F23),4)=0,MOD(YEAR(F23),100)&lt;&gt;0)))),DATE(YEAR(F30),MONTH(F30),DAY(F30+1)),IF(AND(MONTH(F23)=2,OR(C26="",D26="")),DATE(YEAR(F30),MONTH(F30),DAY(F30+1)),"")))</f>
        <v>45534</v>
      </c>
      <c r="H30" s="34">
        <f>IF(OR(DAY(H26+23)=1,DAY(H26+24)=1,DAY(H26+25)=1,DAY(H26+26)=1,DAY(H26+27)=1,DAY(H26+28)=1),"",IF(OR(NOT(MONTH(F23)=2),AND(MONTH(F23)=2,OR(MOD(YEAR(F23),400)=0,AND(MOD(YEAR(F23),4)=0,MOD(YEAR(F23),100)&lt;&gt;0)))),DATE(YEAR(G30),MONTH(G30),DAY(G30+1)),IF(AND(MONTH(F23)=2,OR(C26="",D26="")),DATE(YEAR(G30),MONTH(G30),DAY(G30+1)),"")))</f>
        <v>45535</v>
      </c>
      <c r="J30" s="32">
        <f>IF(DAY(P26+22)=1,"",DATE(YEAR(P26),MONTH(P26),DAY(P26+22)))</f>
        <v>45564</v>
      </c>
      <c r="K30" s="33">
        <f>IF(DAY(P26+23)=1,"",IF(OR(NOT(MONTH(N23)=2),AND(MONTH(N23)=2,OR(MOD(YEAR(N23),400)=0,AND(MOD(YEAR(N23),4)=0,MOD(YEAR(N23),100)&lt;&gt;0)))),DATE(YEAR(J30),MONTH(J30),DAY(J30+1)),IF(AND(MONTH(N23)=2,OR(K26="",L26="")),DATE(YEAR(J30),MONTH(J30),DAY(J30+1)),"")))</f>
        <v>45565</v>
      </c>
      <c r="L30" s="33">
        <f>IF(OR(DAY(P26+23)=1,DAY(P26+24)=1),"",IF(OR(NOT(MONTH(N23)=2),AND(MONTH(N23)=2,OR(MOD(YEAR(N23),400)=0,AND(MOD(YEAR(N23),4)=0,MOD(YEAR(N23),100)&lt;&gt;0)))),DATE(YEAR(K30),MONTH(K30),DAY(K30+1)),IF(AND(MONTH(N23)=2,OR(K26="",L26="")),DATE(YEAR(K30),MONTH(K30),DAY(K30+1)),"")))</f>
      </c>
      <c r="M30" s="33">
        <f>IF(OR(DAY(P26+23)=1,DAY(P26+24)=1,DAY(P26+25)=1),"",IF(OR(NOT(MONTH(N23)=2),AND(MONTH(N23)=2,OR(MOD(YEAR(N23),400)=0,AND(MOD(YEAR(N23),4)=0,MOD(YEAR(N23),100)&lt;&gt;0)))),DATE(YEAR(L30),MONTH(L30),DAY(L30+1)),IF(AND(MONTH(N23)=2,OR(K26="",L26="")),DATE(YEAR(L30),MONTH(L30),DAY(L30+1)),"")))</f>
      </c>
      <c r="N30" s="33">
        <f>IF(OR(DAY(P26+23)=1,DAY(P26+24)=1,DAY(P26+25)=1,DAY(P26+26)=1),"",IF(OR(NOT(MONTH(N23)=2),AND(MONTH(N23)=2,OR(MOD(YEAR(N23),400)=0,AND(MOD(YEAR(N23),4)=0,MOD(YEAR(N23),100)&lt;&gt;0)))),DATE(YEAR(M30),MONTH(M30),DAY(M30+1)),IF(AND(MONTH(N23)=2,OR(K26="",L26="")),DATE(YEAR(M30),MONTH(M30),DAY(M30+1)),"")))</f>
      </c>
      <c r="O30" s="33">
        <f>IF(OR(DAY(P26+23)=1,DAY(P26+24)=1,DAY(P26+25)=1,DAY(P26+26)=1,DAY(P26+27)=1),"",IF(OR(NOT(MONTH(N23)=2),AND(MONTH(N23)=2,OR(MOD(YEAR(N23),400)=0,AND(MOD(YEAR(N23),4)=0,MOD(YEAR(N23),100)&lt;&gt;0)))),DATE(YEAR(N30),MONTH(N30),DAY(N30+1)),IF(AND(MONTH(N23)=2,OR(K26="",L26="")),DATE(YEAR(N30),MONTH(N30),DAY(N30+1)),"")))</f>
      </c>
      <c r="P30" s="34">
        <f>IF(OR(DAY(P26+23)=1,DAY(P26+24)=1,DAY(P26+25)=1,DAY(P26+26)=1,DAY(P26+27)=1,DAY(P26+28)=1),"",IF(OR(NOT(MONTH(N23)=2),AND(MONTH(N23)=2,OR(MOD(YEAR(N23),400)=0,AND(MOD(YEAR(N23),4)=0,MOD(YEAR(N23),100)&lt;&gt;0)))),DATE(YEAR(O30),MONTH(O30),DAY(O30+1)),IF(AND(MONTH(N23)=2,OR(K26="",L26="")),DATE(YEAR(O30),MONTH(O30),DAY(O30+1)),"")))</f>
      </c>
      <c r="R30" s="32">
        <f>IF(DAY(X26+22)=1,"",DATE(YEAR(X26),MONTH(X26),DAY(X26+22)))</f>
        <v>45592</v>
      </c>
      <c r="S30" s="33">
        <f>IF(DAY(X26+23)=1,"",IF(OR(NOT(MONTH(V23)=2),AND(MONTH(V23)=2,OR(MOD(YEAR(V23),400)=0,AND(MOD(YEAR(V23),4)=0,MOD(YEAR(V23),100)&lt;&gt;0)))),DATE(YEAR(R30),MONTH(R30),DAY(R30+1)),IF(AND(MONTH(V23)=2,OR(S26="",T26="")),DATE(YEAR(R30),MONTH(R30),DAY(R30+1)),"")))</f>
        <v>45593</v>
      </c>
      <c r="T30" s="33">
        <f>IF(OR(DAY(X26+23)=1,DAY(X26+24)=1),"",IF(OR(NOT(MONTH(V23)=2),AND(MONTH(V23)=2,OR(MOD(YEAR(V23),400)=0,AND(MOD(YEAR(V23),4)=0,MOD(YEAR(V23),100)&lt;&gt;0)))),DATE(YEAR(S30),MONTH(S30),DAY(S30+1)),IF(AND(MONTH(V23)=2,OR(S26="",T26="")),DATE(YEAR(S30),MONTH(S30),DAY(S30+1)),"")))</f>
        <v>45594</v>
      </c>
      <c r="U30" s="33">
        <f>IF(OR(DAY(X26+23)=1,DAY(X26+24)=1,DAY(X26+25)=1),"",IF(OR(NOT(MONTH(V23)=2),AND(MONTH(V23)=2,OR(MOD(YEAR(V23),400)=0,AND(MOD(YEAR(V23),4)=0,MOD(YEAR(V23),100)&lt;&gt;0)))),DATE(YEAR(T30),MONTH(T30),DAY(T30+1)),IF(AND(MONTH(V23)=2,OR(S26="",T26="")),DATE(YEAR(T30),MONTH(T30),DAY(T30+1)),"")))</f>
        <v>45595</v>
      </c>
      <c r="V30" s="33">
        <f>IF(OR(DAY(X26+23)=1,DAY(X26+24)=1,DAY(X26+25)=1,DAY(X26+26)=1),"",IF(OR(NOT(MONTH(V23)=2),AND(MONTH(V23)=2,OR(MOD(YEAR(V23),400)=0,AND(MOD(YEAR(V23),4)=0,MOD(YEAR(V23),100)&lt;&gt;0)))),DATE(YEAR(U30),MONTH(U30),DAY(U30+1)),IF(AND(MONTH(V23)=2,OR(S26="",T26="")),DATE(YEAR(U30),MONTH(U30),DAY(U30+1)),"")))</f>
        <v>45596</v>
      </c>
      <c r="W30" s="33">
        <f>IF(OR(DAY(X26+23)=1,DAY(X26+24)=1,DAY(X26+25)=1,DAY(X26+26)=1,DAY(X26+27)=1),"",IF(OR(NOT(MONTH(V23)=2),AND(MONTH(V23)=2,OR(MOD(YEAR(V23),400)=0,AND(MOD(YEAR(V23),4)=0,MOD(YEAR(V23),100)&lt;&gt;0)))),DATE(YEAR(V30),MONTH(V30),DAY(V30+1)),IF(AND(MONTH(V23)=2,OR(S26="",T26="")),DATE(YEAR(V30),MONTH(V30),DAY(V30+1)),"")))</f>
      </c>
      <c r="X30" s="34">
        <f>IF(OR(DAY(X26+23)=1,DAY(X26+24)=1,DAY(X26+25)=1,DAY(X26+26)=1,DAY(X26+27)=1,DAY(X26+28)=1),"",IF(OR(NOT(MONTH(V23)=2),AND(MONTH(V23)=2,OR(MOD(YEAR(V23),400)=0,AND(MOD(YEAR(V23),4)=0,MOD(YEAR(V23),100)&lt;&gt;0)))),DATE(YEAR(W30),MONTH(W30),DAY(W30+1)),IF(AND(MONTH(V23)=2,OR(S26="",T26="")),DATE(YEAR(W30),MONTH(W30),DAY(W30+1)),"")))</f>
      </c>
    </row>
    <row r="31" spans="2:24" ht="27" customHeight="1" thickBot="1">
      <c r="B31" s="35">
        <f>IF(OR(DAY(H26+24)=1,DAY(H26+25)=1,DAY(H26+26)=1,DAY(H26+27)=1,DAY(H26+28)=1,DAY(H26+29)=1),"",IF(MONTH(H26)=2,"",DATE(YEAR(H30),MONTH(H30),DAY(H30+1))))</f>
      </c>
      <c r="C31" s="36">
        <f>IF(OR(DAY(H26+24)=1,DAY(H26+25)=1,DAY(H26+26)=1,DAY(H26+27)=1,DAY(H26+28)=1,DAY(H26+29)=1,DAY(H26+30)=1),"",IF(OR(MONTH(H26)=2,MONTH(F23)=4,MONTH(F23)=6,MONTH(F23)=9,MONTH(F23)=11),"",DATE(YEAR(B31),MONTH(B31),DAY(B31+1))))</f>
      </c>
      <c r="D31" s="36"/>
      <c r="E31" s="36"/>
      <c r="F31" s="36"/>
      <c r="G31" s="36"/>
      <c r="H31" s="37"/>
      <c r="J31" s="35">
        <f>IF(OR(DAY(P26+24)=1,DAY(P26+25)=1,DAY(P26+26)=1,DAY(P26+27)=1,DAY(P26+28)=1,DAY(P26+29)=1),"",IF(MONTH(P26)=2,"",DATE(YEAR(P30),MONTH(P30),DAY(P30+1))))</f>
      </c>
      <c r="K31" s="36">
        <f>IF(OR(DAY(P26+24)=1,DAY(P26+25)=1,DAY(P26+26)=1,DAY(P26+27)=1,DAY(P26+28)=1,DAY(P26+29)=1,DAY(P26+30)=1),"",IF(OR(MONTH(P26)=2,MONTH(N23)=4,MONTH(N23)=6,MONTH(N23)=9,MONTH(N23)=11),"",DATE(YEAR(J31),MONTH(J31),DAY(J31+1))))</f>
      </c>
      <c r="L31" s="36"/>
      <c r="M31" s="36"/>
      <c r="N31" s="36"/>
      <c r="O31" s="36"/>
      <c r="P31" s="37"/>
      <c r="R31" s="35">
        <f>IF(OR(DAY(X26+24)=1,DAY(X26+25)=1,DAY(X26+26)=1,DAY(X26+27)=1,DAY(X26+28)=1,DAY(X26+29)=1),"",IF(MONTH(X26)=2,"",DATE(YEAR(X30),MONTH(X30),DAY(X30+1))))</f>
      </c>
      <c r="S31" s="36">
        <f>IF(OR(DAY(X26+24)=1,DAY(X26+25)=1,DAY(X26+26)=1,DAY(X26+27)=1,DAY(X26+28)=1,DAY(X26+29)=1,DAY(X26+30)=1),"",IF(OR(MONTH(X26)=2,MONTH(V23)=4,MONTH(V23)=6,MONTH(V23)=9,MONTH(V23)=11),"",DATE(YEAR(R31),MONTH(R31),DAY(R31+1))))</f>
      </c>
      <c r="T31" s="36"/>
      <c r="U31" s="36"/>
      <c r="V31" s="36"/>
      <c r="W31" s="36"/>
      <c r="X31" s="37"/>
    </row>
    <row r="32" ht="9" customHeight="1" thickTop="1"/>
    <row r="33" spans="2:25" ht="20.25" customHeight="1" thickBot="1">
      <c r="B33" s="186">
        <f>IF(MONTH(Y24)=12,TEXT(DATE(YEAR(Y24)+1,1,1),"mmm yyyy"),DATE(YEAR(Y24),MONTH(Y24)+1,1))</f>
        <v>45597</v>
      </c>
      <c r="C33" s="186"/>
      <c r="D33" s="186"/>
      <c r="E33" s="186"/>
      <c r="F33" s="186"/>
      <c r="G33" s="186"/>
      <c r="H33" s="186"/>
      <c r="I33" s="85">
        <f>DATE(YEAR(Y24),MONTH(Y24)+1,1)</f>
        <v>45597</v>
      </c>
      <c r="J33" s="186">
        <f>IF(MONTH(I33)=12,TEXT(DATE(YEAR(I33)+1,1,1),"mmm yyyy"),DATE(YEAR(I33),MONTH(I33)+1,1))</f>
        <v>45627</v>
      </c>
      <c r="K33" s="186"/>
      <c r="L33" s="186"/>
      <c r="M33" s="186"/>
      <c r="N33" s="186"/>
      <c r="O33" s="186"/>
      <c r="P33" s="186"/>
      <c r="Q33" s="5">
        <f>DATE(YEAR(I33),MONTH(I33)+1,1)</f>
        <v>45627</v>
      </c>
      <c r="R33" s="187" t="str">
        <f>IF(MONTH(Q33)=12,CONCATENATE("Jan ",YEAR(Q33)+1),DATE(YEAR(Q33),MONTH(Q33)+1,1))</f>
        <v>Jan 2025</v>
      </c>
      <c r="S33" s="187"/>
      <c r="T33" s="187"/>
      <c r="U33" s="187"/>
      <c r="V33" s="187"/>
      <c r="W33" s="187"/>
      <c r="X33" s="187"/>
      <c r="Y33" s="5">
        <f>DATE(YEAR(Q33),MONTH(Q33)+1,1)</f>
        <v>45658</v>
      </c>
    </row>
    <row r="34" spans="2:24" ht="20.25" customHeight="1" thickBot="1">
      <c r="B34" s="38" t="s">
        <v>50</v>
      </c>
      <c r="C34" s="39" t="s">
        <v>51</v>
      </c>
      <c r="D34" s="39" t="s">
        <v>52</v>
      </c>
      <c r="E34" s="39" t="s">
        <v>53</v>
      </c>
      <c r="F34" s="39" t="s">
        <v>54</v>
      </c>
      <c r="G34" s="39" t="s">
        <v>55</v>
      </c>
      <c r="H34" s="38" t="s">
        <v>56</v>
      </c>
      <c r="I34" s="3"/>
      <c r="J34" s="38" t="s">
        <v>50</v>
      </c>
      <c r="K34" s="39" t="s">
        <v>51</v>
      </c>
      <c r="L34" s="39" t="s">
        <v>52</v>
      </c>
      <c r="M34" s="39" t="s">
        <v>53</v>
      </c>
      <c r="N34" s="39" t="s">
        <v>54</v>
      </c>
      <c r="O34" s="39" t="s">
        <v>55</v>
      </c>
      <c r="P34" s="38" t="s">
        <v>56</v>
      </c>
      <c r="Q34" s="3"/>
      <c r="R34" s="38" t="s">
        <v>50</v>
      </c>
      <c r="S34" s="39" t="s">
        <v>51</v>
      </c>
      <c r="T34" s="39" t="s">
        <v>52</v>
      </c>
      <c r="U34" s="39" t="s">
        <v>53</v>
      </c>
      <c r="V34" s="39" t="s">
        <v>54</v>
      </c>
      <c r="W34" s="39" t="s">
        <v>55</v>
      </c>
      <c r="X34" s="38" t="s">
        <v>56</v>
      </c>
    </row>
    <row r="35" spans="2:24" ht="27" customHeight="1" thickTop="1">
      <c r="B35" s="40">
        <f>IF(WEEKDAY(DATE(YEAR(I33),MONTH(I33),DAY(1)),1)=1,DATE(YEAR(I33),MONTH(I33),DAY(1)),"")</f>
      </c>
      <c r="C35" s="41">
        <f>IF(WEEKDAY(DATE(YEAR(I33),MONTH(I33),DAY(1)),1)=2,DATE(YEAR(I33),MONTH(I33),DAY(1)),IF(NOT(B35=""),B35+1,""))</f>
      </c>
      <c r="D35" s="41">
        <f>IF(WEEKDAY(DATE(YEAR(I33),MONTH(I33),DAY(1)),1)=3,DATE(YEAR(I33),MONTH(I33),DAY(1)),IF(NOT(C35=""),C35+1,""))</f>
      </c>
      <c r="E35" s="41">
        <f>IF(WEEKDAY(DATE(YEAR(I33),MONTH(I33),DAY(1)),1)=4,DATE(YEAR(I33),MONTH(I33),DAY(1)),IF(NOT(D35=""),D35+1,""))</f>
      </c>
      <c r="F35" s="41">
        <f>IF(WEEKDAY(DATE(YEAR(I33),MONTH(I33),DAY(1)),1)=5,DATE(YEAR(I33),MONTH(I33),DAY(1)),IF(NOT(E35=""),E35+1,""))</f>
      </c>
      <c r="G35" s="41">
        <f>IF(WEEKDAY(DATE(YEAR(I33),MONTH(I33),DAY(1)),1)=6,DATE(YEAR(I33),MONTH(I33),DAY(1)),IF(NOT(F35=""),F35+1,""))</f>
        <v>45597</v>
      </c>
      <c r="H35" s="42">
        <f>IF(WEEKDAY(DATE(YEAR(I33),MONTH(I33),DAY(1)),1)=7,DATE(YEAR(I33),MONTH(I33),DAY(1)),DATE(YEAR(G35),MONTH(G35),DAY(G35+1)))</f>
        <v>45598</v>
      </c>
      <c r="J35" s="40">
        <f>IF(WEEKDAY(DATE(YEAR(Q33),MONTH(Q33),DAY(1)),1)=1,DATE(YEAR(Q33),MONTH(Q33),DAY(1)),"")</f>
        <v>45627</v>
      </c>
      <c r="K35" s="41">
        <f>IF(WEEKDAY(DATE(YEAR(Q33),MONTH(Q33),DAY(1)),1)=2,DATE(YEAR(Q33),MONTH(Q33),DAY(1)),IF(NOT(J35=""),J35+1,""))</f>
        <v>45628</v>
      </c>
      <c r="L35" s="41">
        <f>IF(WEEKDAY(DATE(YEAR(Q33),MONTH(Q33),DAY(1)),1)=3,DATE(YEAR(Q33),MONTH(Q33),DAY(1)),IF(NOT(K35=""),K35+1,""))</f>
        <v>45629</v>
      </c>
      <c r="M35" s="41">
        <f>IF(WEEKDAY(DATE(YEAR(Q33),MONTH(Q33),DAY(1)),1)=4,DATE(YEAR(Q33),MONTH(Q33),DAY(1)),IF(NOT(L35=""),L35+1,""))</f>
        <v>45630</v>
      </c>
      <c r="N35" s="41">
        <f>IF(WEEKDAY(DATE(YEAR(Q33),MONTH(Q33),DAY(1)),1)=5,DATE(YEAR(Q33),MONTH(Q33),DAY(1)),IF(NOT(M35=""),M35+1,""))</f>
        <v>45631</v>
      </c>
      <c r="O35" s="41">
        <f>IF(WEEKDAY(DATE(YEAR(Q33),MONTH(Q33),DAY(1)),1)=6,DATE(YEAR(Q33),MONTH(Q33),DAY(1)),IF(NOT(N35=""),N35+1,""))</f>
        <v>45632</v>
      </c>
      <c r="P35" s="42">
        <f>IF(WEEKDAY(DATE(YEAR(Q33),MONTH(Q33),DAY(1)),1)=7,DATE(YEAR(Q33),MONTH(Q33),DAY(1)),DATE(YEAR(O35),MONTH(O35),DAY(O35+1)))</f>
        <v>45633</v>
      </c>
      <c r="R35" s="40">
        <f>IF(WEEKDAY(DATE(YEAR(Y33),MONTH(Y33),DAY(1)),1)=1,DATE(YEAR(Y33),MONTH(Y33),DAY(1)),"")</f>
      </c>
      <c r="S35" s="41">
        <f>IF(WEEKDAY(DATE(YEAR(Y33),MONTH(Y33),DAY(1)),1)=2,DATE(YEAR(Y33),MONTH(Y33),DAY(1)),IF(NOT(R35=""),R35+1,""))</f>
      </c>
      <c r="T35" s="41">
        <f>IF(WEEKDAY(DATE(YEAR(Y33),MONTH(Y33),DAY(1)),1)=3,DATE(YEAR(Y33),MONTH(Y33),DAY(1)),IF(NOT(S35=""),S35+1,""))</f>
      </c>
      <c r="U35" s="41">
        <f>IF(WEEKDAY(DATE(YEAR(Y33),MONTH(Y33),DAY(1)),1)=4,DATE(YEAR(Y33),MONTH(Y33),DAY(1)),IF(NOT(T35=""),T35+1,""))</f>
        <v>45658</v>
      </c>
      <c r="V35" s="41">
        <f>IF(WEEKDAY(DATE(YEAR(Y33),MONTH(Y33),DAY(1)),1)=5,DATE(YEAR(Y33),MONTH(Y33),DAY(1)),IF(NOT(U35=""),U35+1,""))</f>
        <v>45659</v>
      </c>
      <c r="W35" s="41">
        <f>IF(WEEKDAY(DATE(YEAR(Y33),MONTH(Y33),DAY(1)),1)=6,DATE(YEAR(Y33),MONTH(Y33),DAY(1)),IF(NOT(V35=""),V35+1,""))</f>
        <v>45660</v>
      </c>
      <c r="X35" s="42">
        <f>IF(WEEKDAY(DATE(YEAR(Y33),MONTH(Y33),DAY(1)),1)=7,DATE(YEAR(Y33),MONTH(Y33),DAY(1)),DATE(YEAR(W35),MONTH(W35),DAY(W35+1)))</f>
        <v>45661</v>
      </c>
    </row>
    <row r="36" spans="2:24" ht="27" customHeight="1">
      <c r="B36" s="32">
        <f>DATE(YEAR(H35),MONTH(H35),DAY(H35+1))</f>
        <v>45599</v>
      </c>
      <c r="C36" s="33">
        <f aca="true" t="shared" si="9" ref="C36:H38">DATE(YEAR(B36),MONTH(B36),DAY(B36+1))</f>
        <v>45600</v>
      </c>
      <c r="D36" s="33">
        <f t="shared" si="9"/>
        <v>45601</v>
      </c>
      <c r="E36" s="33">
        <f t="shared" si="9"/>
        <v>45602</v>
      </c>
      <c r="F36" s="33">
        <f t="shared" si="9"/>
        <v>45603</v>
      </c>
      <c r="G36" s="33">
        <f t="shared" si="9"/>
        <v>45604</v>
      </c>
      <c r="H36" s="34">
        <f t="shared" si="9"/>
        <v>45605</v>
      </c>
      <c r="J36" s="32">
        <f>DATE(YEAR(P35),MONTH(P35),DAY(P35+1))</f>
        <v>45634</v>
      </c>
      <c r="K36" s="33">
        <f aca="true" t="shared" si="10" ref="K36:P38">DATE(YEAR(J36),MONTH(J36),DAY(J36+1))</f>
        <v>45635</v>
      </c>
      <c r="L36" s="33">
        <f t="shared" si="10"/>
        <v>45636</v>
      </c>
      <c r="M36" s="33">
        <f t="shared" si="10"/>
        <v>45637</v>
      </c>
      <c r="N36" s="33">
        <f t="shared" si="10"/>
        <v>45638</v>
      </c>
      <c r="O36" s="33">
        <f t="shared" si="10"/>
        <v>45639</v>
      </c>
      <c r="P36" s="34">
        <f t="shared" si="10"/>
        <v>45640</v>
      </c>
      <c r="R36" s="32">
        <f>DATE(YEAR(X35),MONTH(X35),DAY(X35+1))</f>
        <v>45662</v>
      </c>
      <c r="S36" s="33">
        <f aca="true" t="shared" si="11" ref="S36:X38">DATE(YEAR(R36),MONTH(R36),DAY(R36+1))</f>
        <v>45663</v>
      </c>
      <c r="T36" s="33">
        <f t="shared" si="11"/>
        <v>45664</v>
      </c>
      <c r="U36" s="33">
        <f t="shared" si="11"/>
        <v>45665</v>
      </c>
      <c r="V36" s="33">
        <f t="shared" si="11"/>
        <v>45666</v>
      </c>
      <c r="W36" s="33">
        <f t="shared" si="11"/>
        <v>45667</v>
      </c>
      <c r="X36" s="34">
        <f t="shared" si="11"/>
        <v>45668</v>
      </c>
    </row>
    <row r="37" spans="2:24" ht="27" customHeight="1">
      <c r="B37" s="32">
        <f>DATE(YEAR(H36),MONTH(H36),DAY(H36+1))</f>
        <v>45606</v>
      </c>
      <c r="C37" s="33">
        <f t="shared" si="9"/>
        <v>45607</v>
      </c>
      <c r="D37" s="33">
        <f t="shared" si="9"/>
        <v>45608</v>
      </c>
      <c r="E37" s="33">
        <f t="shared" si="9"/>
        <v>45609</v>
      </c>
      <c r="F37" s="33">
        <f t="shared" si="9"/>
        <v>45610</v>
      </c>
      <c r="G37" s="33">
        <f t="shared" si="9"/>
        <v>45611</v>
      </c>
      <c r="H37" s="34">
        <f t="shared" si="9"/>
        <v>45612</v>
      </c>
      <c r="J37" s="32">
        <f>DATE(YEAR(P36),MONTH(P36),DAY(P36+1))</f>
        <v>45641</v>
      </c>
      <c r="K37" s="33">
        <f t="shared" si="10"/>
        <v>45642</v>
      </c>
      <c r="L37" s="33">
        <f t="shared" si="10"/>
        <v>45643</v>
      </c>
      <c r="M37" s="33">
        <f t="shared" si="10"/>
        <v>45644</v>
      </c>
      <c r="N37" s="33">
        <f t="shared" si="10"/>
        <v>45645</v>
      </c>
      <c r="O37" s="33">
        <f t="shared" si="10"/>
        <v>45646</v>
      </c>
      <c r="P37" s="34">
        <f t="shared" si="10"/>
        <v>45647</v>
      </c>
      <c r="R37" s="32">
        <f>DATE(YEAR(X36),MONTH(X36),DAY(X36+1))</f>
        <v>45669</v>
      </c>
      <c r="S37" s="33">
        <f t="shared" si="11"/>
        <v>45670</v>
      </c>
      <c r="T37" s="33">
        <f t="shared" si="11"/>
        <v>45671</v>
      </c>
      <c r="U37" s="33">
        <f t="shared" si="11"/>
        <v>45672</v>
      </c>
      <c r="V37" s="33">
        <f t="shared" si="11"/>
        <v>45673</v>
      </c>
      <c r="W37" s="33">
        <f t="shared" si="11"/>
        <v>45674</v>
      </c>
      <c r="X37" s="34">
        <f t="shared" si="11"/>
        <v>45675</v>
      </c>
    </row>
    <row r="38" spans="2:24" ht="27" customHeight="1">
      <c r="B38" s="32">
        <f>DATE(YEAR(H37),MONTH(H37),DAY(H37+1))</f>
        <v>45613</v>
      </c>
      <c r="C38" s="33">
        <f t="shared" si="9"/>
        <v>45614</v>
      </c>
      <c r="D38" s="33">
        <f t="shared" si="9"/>
        <v>45615</v>
      </c>
      <c r="E38" s="33">
        <f t="shared" si="9"/>
        <v>45616</v>
      </c>
      <c r="F38" s="33">
        <f t="shared" si="9"/>
        <v>45617</v>
      </c>
      <c r="G38" s="33">
        <f t="shared" si="9"/>
        <v>45618</v>
      </c>
      <c r="H38" s="34">
        <f t="shared" si="9"/>
        <v>45619</v>
      </c>
      <c r="J38" s="32">
        <f>DATE(YEAR(P37),MONTH(P37),DAY(P37+1))</f>
        <v>45648</v>
      </c>
      <c r="K38" s="33">
        <f t="shared" si="10"/>
        <v>45649</v>
      </c>
      <c r="L38" s="33">
        <f t="shared" si="10"/>
        <v>45650</v>
      </c>
      <c r="M38" s="33">
        <f t="shared" si="10"/>
        <v>45651</v>
      </c>
      <c r="N38" s="33">
        <f t="shared" si="10"/>
        <v>45652</v>
      </c>
      <c r="O38" s="33">
        <f t="shared" si="10"/>
        <v>45653</v>
      </c>
      <c r="P38" s="34">
        <f t="shared" si="10"/>
        <v>45654</v>
      </c>
      <c r="R38" s="32">
        <f>DATE(YEAR(X37),MONTH(X37),DAY(X37+1))</f>
        <v>45676</v>
      </c>
      <c r="S38" s="33">
        <f t="shared" si="11"/>
        <v>45677</v>
      </c>
      <c r="T38" s="33">
        <f t="shared" si="11"/>
        <v>45678</v>
      </c>
      <c r="U38" s="33">
        <f t="shared" si="11"/>
        <v>45679</v>
      </c>
      <c r="V38" s="33">
        <f t="shared" si="11"/>
        <v>45680</v>
      </c>
      <c r="W38" s="33">
        <f t="shared" si="11"/>
        <v>45681</v>
      </c>
      <c r="X38" s="34">
        <f t="shared" si="11"/>
        <v>45682</v>
      </c>
    </row>
    <row r="39" spans="2:24" ht="27" customHeight="1">
      <c r="B39" s="32">
        <f>IF(DAY(H35+22)=1,"",DATE(YEAR(H35),MONTH(H35),DAY(H35+22)))</f>
        <v>45620</v>
      </c>
      <c r="C39" s="33">
        <f>IF(DAY(H35+23)=1,"",IF(OR(NOT(MONTH(F32)=2),AND(MONTH(F32)=2,OR(MOD(YEAR(F32),400)=0,AND(MOD(YEAR(F32),4)=0,MOD(YEAR(F32),100)&lt;&gt;0)))),DATE(YEAR(B39),MONTH(B39),DAY(B39+1)),IF(AND(MONTH(F32)=2,OR(C35="",D35="")),DATE(YEAR(B39),MONTH(B39),DAY(B39+1)),"")))</f>
        <v>45621</v>
      </c>
      <c r="D39" s="33">
        <f>IF(OR(DAY(H35+23)=1,DAY(H35+24)=1),"",IF(OR(NOT(MONTH(F32)=2),AND(MONTH(F32)=2,OR(MOD(YEAR(F32),400)=0,AND(MOD(YEAR(F32),4)=0,MOD(YEAR(F32),100)&lt;&gt;0)))),DATE(YEAR(C39),MONTH(C39),DAY(C39+1)),IF(AND(MONTH(F32)=2,OR(C35="",D35="")),DATE(YEAR(C39),MONTH(C39),DAY(C39+1)),"")))</f>
        <v>45622</v>
      </c>
      <c r="E39" s="33">
        <f>IF(OR(DAY(H35+23)=1,DAY(H35+24)=1,DAY(H35+25)=1),"",IF(OR(NOT(MONTH(F32)=2),AND(MONTH(F32)=2,OR(MOD(YEAR(F32),400)=0,AND(MOD(YEAR(F32),4)=0,MOD(YEAR(F32),100)&lt;&gt;0)))),DATE(YEAR(D39),MONTH(D39),DAY(D39+1)),IF(AND(MONTH(F32)=2,OR(C35="",D35="")),DATE(YEAR(D39),MONTH(D39),DAY(D39+1)),"")))</f>
        <v>45623</v>
      </c>
      <c r="F39" s="33">
        <f>IF(OR(DAY(H35+23)=1,DAY(H35+24)=1,DAY(H35+25)=1,DAY(H35+26)=1),"",IF(OR(NOT(MONTH(F32)=2),AND(MONTH(F32)=2,OR(MOD(YEAR(F32),400)=0,AND(MOD(YEAR(F32),4)=0,MOD(YEAR(F32),100)&lt;&gt;0)))),DATE(YEAR(E39),MONTH(E39),DAY(E39+1)),IF(AND(MONTH(F32)=2,OR(C35="",D35="")),DATE(YEAR(E39),MONTH(E39),DAY(E39+1)),"")))</f>
        <v>45624</v>
      </c>
      <c r="G39" s="33">
        <f>IF(OR(DAY(H35+23)=1,DAY(H35+24)=1,DAY(H35+25)=1,DAY(H35+26)=1,DAY(H35+27)=1),"",IF(OR(NOT(MONTH(F32)=2),AND(MONTH(F32)=2,OR(MOD(YEAR(F32),400)=0,AND(MOD(YEAR(F32),4)=0,MOD(YEAR(F32),100)&lt;&gt;0)))),DATE(YEAR(F39),MONTH(F39),DAY(F39+1)),IF(AND(MONTH(F32)=2,OR(C35="",D35="")),DATE(YEAR(F39),MONTH(F39),DAY(F39+1)),"")))</f>
        <v>45625</v>
      </c>
      <c r="H39" s="34">
        <f>IF(OR(DAY(H35+23)=1,DAY(H35+24)=1,DAY(H35+25)=1,DAY(H35+26)=1,DAY(H35+27)=1,DAY(H35+28)=1),"",IF(OR(NOT(MONTH(F32)=2),AND(MONTH(F32)=2,OR(MOD(YEAR(F32),400)=0,AND(MOD(YEAR(F32),4)=0,MOD(YEAR(F32),100)&lt;&gt;0)))),DATE(YEAR(G39),MONTH(G39),DAY(G39+1)),IF(AND(MONTH(F32)=2,OR(C35="",D35="")),DATE(YEAR(G39),MONTH(G39),DAY(G39+1)),"")))</f>
        <v>45626</v>
      </c>
      <c r="J39" s="32">
        <f>IF(DAY(P35+22)=1,"",DATE(YEAR(P35),MONTH(P35),DAY(P35+22)))</f>
        <v>45655</v>
      </c>
      <c r="K39" s="33">
        <f>IF(DAY(P35+23)=1,"",IF(OR(NOT(MONTH(N32)=2),AND(MONTH(N32)=2,OR(MOD(YEAR(N32),400)=0,AND(MOD(YEAR(N32),4)=0,MOD(YEAR(N32),100)&lt;&gt;0)))),DATE(YEAR(J39),MONTH(J39),DAY(J39+1)),IF(AND(MONTH(N32)=2,OR(K35="",L35="")),DATE(YEAR(J39),MONTH(J39),DAY(J39+1)),"")))</f>
        <v>45656</v>
      </c>
      <c r="L39" s="33">
        <f>IF(OR(DAY(P35+23)=1,DAY(P35+24)=1),"",IF(OR(NOT(MONTH(N32)=2),AND(MONTH(N32)=2,OR(MOD(YEAR(N32),400)=0,AND(MOD(YEAR(N32),4)=0,MOD(YEAR(N32),100)&lt;&gt;0)))),DATE(YEAR(K39),MONTH(K39),DAY(K39+1)),IF(AND(MONTH(N32)=2,OR(K35="",L35="")),DATE(YEAR(K39),MONTH(K39),DAY(K39+1)),"")))</f>
        <v>45657</v>
      </c>
      <c r="M39" s="33">
        <f>IF(OR(DAY(P35+23)=1,DAY(P35+24)=1,DAY(P35+25)=1),"",IF(OR(NOT(MONTH(N32)=2),AND(MONTH(N32)=2,OR(MOD(YEAR(N32),400)=0,AND(MOD(YEAR(N32),4)=0,MOD(YEAR(N32),100)&lt;&gt;0)))),DATE(YEAR(L39),MONTH(L39),DAY(L39+1)),IF(AND(MONTH(N32)=2,OR(K35="",L35="")),DATE(YEAR(L39),MONTH(L39),DAY(L39+1)),"")))</f>
      </c>
      <c r="N39" s="33">
        <f>IF(OR(DAY(P35+23)=1,DAY(P35+24)=1,DAY(P35+25)=1,DAY(P35+26)=1),"",IF(OR(NOT(MONTH(N32)=2),AND(MONTH(N32)=2,OR(MOD(YEAR(N32),400)=0,AND(MOD(YEAR(N32),4)=0,MOD(YEAR(N32),100)&lt;&gt;0)))),DATE(YEAR(M39),MONTH(M39),DAY(M39+1)),IF(AND(MONTH(N32)=2,OR(K35="",L35="")),DATE(YEAR(M39),MONTH(M39),DAY(M39+1)),"")))</f>
      </c>
      <c r="O39" s="33">
        <f>IF(OR(DAY(P35+23)=1,DAY(P35+24)=1,DAY(P35+25)=1,DAY(P35+26)=1,DAY(P35+27)=1),"",IF(OR(NOT(MONTH(N32)=2),AND(MONTH(N32)=2,OR(MOD(YEAR(N32),400)=0,AND(MOD(YEAR(N32),4)=0,MOD(YEAR(N32),100)&lt;&gt;0)))),DATE(YEAR(N39),MONTH(N39),DAY(N39+1)),IF(AND(MONTH(N32)=2,OR(K35="",L35="")),DATE(YEAR(N39),MONTH(N39),DAY(N39+1)),"")))</f>
      </c>
      <c r="P39" s="34">
        <f>IF(OR(DAY(P35+23)=1,DAY(P35+24)=1,DAY(P35+25)=1,DAY(P35+26)=1,DAY(P35+27)=1,DAY(P35+28)=1),"",IF(OR(NOT(MONTH(N32)=2),AND(MONTH(N32)=2,OR(MOD(YEAR(N32),400)=0,AND(MOD(YEAR(N32),4)=0,MOD(YEAR(N32),100)&lt;&gt;0)))),DATE(YEAR(O39),MONTH(O39),DAY(O39+1)),IF(AND(MONTH(N32)=2,OR(K35="",L35="")),DATE(YEAR(O39),MONTH(O39),DAY(O39+1)),"")))</f>
      </c>
      <c r="R39" s="32">
        <f>IF(DAY(X35+22)=1,"",DATE(YEAR(X35),MONTH(X35),DAY(X35+22)))</f>
        <v>45683</v>
      </c>
      <c r="S39" s="33">
        <f>IF(DAY(X35+23)=1,"",IF(OR(NOT(MONTH(V32)=2),AND(MONTH(V32)=2,OR(MOD(YEAR(V32),400)=0,AND(MOD(YEAR(V32),4)=0,MOD(YEAR(V32),100)&lt;&gt;0)))),DATE(YEAR(R39),MONTH(R39),DAY(R39+1)),IF(AND(MONTH(V32)=2,OR(S35="",T35="")),DATE(YEAR(R39),MONTH(R39),DAY(R39+1)),"")))</f>
        <v>45684</v>
      </c>
      <c r="T39" s="33">
        <f>IF(OR(DAY(X35+23)=1,DAY(X35+24)=1),"",IF(OR(NOT(MONTH(V32)=2),AND(MONTH(V32)=2,OR(MOD(YEAR(V32),400)=0,AND(MOD(YEAR(V32),4)=0,MOD(YEAR(V32),100)&lt;&gt;0)))),DATE(YEAR(S39),MONTH(S39),DAY(S39+1)),IF(AND(MONTH(V32)=2,OR(S35="",T35="")),DATE(YEAR(S39),MONTH(S39),DAY(S39+1)),"")))</f>
        <v>45685</v>
      </c>
      <c r="U39" s="33">
        <f>IF(OR(DAY(X35+23)=1,DAY(X35+24)=1,DAY(X35+25)=1),"",IF(OR(NOT(MONTH(V32)=2),AND(MONTH(V32)=2,OR(MOD(YEAR(V32),400)=0,AND(MOD(YEAR(V32),4)=0,MOD(YEAR(V32),100)&lt;&gt;0)))),DATE(YEAR(T39),MONTH(T39),DAY(T39+1)),IF(AND(MONTH(V32)=2,OR(S35="",T35="")),DATE(YEAR(T39),MONTH(T39),DAY(T39+1)),"")))</f>
        <v>45686</v>
      </c>
      <c r="V39" s="33">
        <f>IF(OR(DAY(X35+23)=1,DAY(X35+24)=1,DAY(X35+25)=1,DAY(X35+26)=1),"",IF(OR(NOT(MONTH(V32)=2),AND(MONTH(V32)=2,OR(MOD(YEAR(V32),400)=0,AND(MOD(YEAR(V32),4)=0,MOD(YEAR(V32),100)&lt;&gt;0)))),DATE(YEAR(U39),MONTH(U39),DAY(U39+1)),IF(AND(MONTH(V32)=2,OR(S35="",T35="")),DATE(YEAR(U39),MONTH(U39),DAY(U39+1)),"")))</f>
        <v>45687</v>
      </c>
      <c r="W39" s="33">
        <f>IF(OR(DAY(X35+23)=1,DAY(X35+24)=1,DAY(X35+25)=1,DAY(X35+26)=1,DAY(X35+27)=1),"",IF(OR(NOT(MONTH(V32)=2),AND(MONTH(V32)=2,OR(MOD(YEAR(V32),400)=0,AND(MOD(YEAR(V32),4)=0,MOD(YEAR(V32),100)&lt;&gt;0)))),DATE(YEAR(V39),MONTH(V39),DAY(V39+1)),IF(AND(MONTH(V32)=2,OR(S35="",T35="")),DATE(YEAR(V39),MONTH(V39),DAY(V39+1)),"")))</f>
        <v>45688</v>
      </c>
      <c r="X39" s="34">
        <f>IF(OR(DAY(X35+23)=1,DAY(X35+24)=1,DAY(X35+25)=1,DAY(X35+26)=1,DAY(X35+27)=1,DAY(X35+28)=1),"",IF(OR(NOT(MONTH(V32)=2),AND(MONTH(V32)=2,OR(MOD(YEAR(V32),400)=0,AND(MOD(YEAR(V32),4)=0,MOD(YEAR(V32),100)&lt;&gt;0)))),DATE(YEAR(W39),MONTH(W39),DAY(W39+1)),IF(AND(MONTH(V32)=2,OR(S35="",T35="")),DATE(YEAR(W39),MONTH(W39),DAY(W39+1)),"")))</f>
      </c>
    </row>
    <row r="40" spans="2:24" ht="27" customHeight="1" thickBot="1">
      <c r="B40" s="35">
        <f>IF(OR(DAY(H35+24)=1,DAY(H35+25)=1,DAY(H35+26)=1,DAY(H35+27)=1,DAY(H35+28)=1,DAY(H35+29)=1),"",IF(MONTH(H35)=2,"",DATE(YEAR(H39),MONTH(H39),DAY(H39+1))))</f>
      </c>
      <c r="C40" s="36">
        <f>IF(OR(DAY(H35+24)=1,DAY(H35+25)=1,DAY(H35+26)=1,DAY(H35+27)=1,DAY(H35+28)=1,DAY(H35+29)=1,DAY(H35+30)=1),"",IF(OR(MONTH(H35)=2,MONTH(F32)=4,MONTH(F32)=6,MONTH(F32)=9,MONTH(F32)=11),"",DATE(YEAR(B40),MONTH(B40),DAY(B40+1))))</f>
      </c>
      <c r="D40" s="36"/>
      <c r="E40" s="36"/>
      <c r="F40" s="36"/>
      <c r="G40" s="36"/>
      <c r="H40" s="37"/>
      <c r="J40" s="35">
        <f>IF(OR(DAY(P35+24)=1,DAY(P35+25)=1,DAY(P35+26)=1,DAY(P35+27)=1,DAY(P35+28)=1,DAY(P35+29)=1),"",IF(MONTH(P35)=2,"",DATE(YEAR(P39),MONTH(P39),DAY(P39+1))))</f>
      </c>
      <c r="K40" s="36">
        <f>IF(OR(DAY(P35+24)=1,DAY(P35+25)=1,DAY(P35+26)=1,DAY(P35+27)=1,DAY(P35+28)=1,DAY(P35+29)=1,DAY(P35+30)=1),"",IF(OR(MONTH(P35)=2,MONTH(N32)=4,MONTH(N32)=6,MONTH(N32)=9,MONTH(N32)=11),"",DATE(YEAR(J40),MONTH(J40),DAY(J40+1))))</f>
      </c>
      <c r="L40" s="36"/>
      <c r="M40" s="36"/>
      <c r="N40" s="36"/>
      <c r="O40" s="36"/>
      <c r="P40" s="37"/>
      <c r="R40" s="35">
        <f>IF(OR(DAY(X35+24)=1,DAY(X35+25)=1,DAY(X35+26)=1,DAY(X35+27)=1,DAY(X35+28)=1,DAY(X35+29)=1),"",IF(MONTH(X35)=2,"",DATE(YEAR(X39),MONTH(X39),DAY(X39+1))))</f>
      </c>
      <c r="S40" s="36">
        <f>IF(OR(DAY(X35+24)=1,DAY(X35+25)=1,DAY(X35+26)=1,DAY(X35+27)=1,DAY(X35+28)=1,DAY(X35+29)=1,DAY(X35+30)=1),"",IF(OR(MONTH(X35)=2,MONTH(V32)=4,MONTH(V32)=6,MONTH(V32)=9,MONTH(V32)=11),"",DATE(YEAR(R40),MONTH(R40),DAY(R40+1))))</f>
      </c>
      <c r="T40" s="36"/>
      <c r="U40" s="36"/>
      <c r="V40" s="36"/>
      <c r="W40" s="36"/>
      <c r="X40" s="37"/>
    </row>
    <row r="41" ht="6" customHeight="1" thickTop="1"/>
    <row r="42" ht="20.25" customHeight="1">
      <c r="A42" s="18" t="s">
        <v>23</v>
      </c>
    </row>
    <row r="44" spans="2:27" ht="39.75" customHeight="1" thickBot="1">
      <c r="B44" s="8"/>
      <c r="C44" s="8"/>
      <c r="D44" s="8"/>
      <c r="E44" s="8"/>
      <c r="F44" s="8"/>
      <c r="G44" s="8"/>
      <c r="H44" s="8"/>
      <c r="I44" s="9"/>
      <c r="J44" s="8"/>
      <c r="K44" s="8"/>
      <c r="L44" s="8"/>
      <c r="M44" s="8"/>
      <c r="N44" s="8"/>
      <c r="O44" s="8"/>
      <c r="X44" s="144" t="s">
        <v>21</v>
      </c>
      <c r="Y44" s="145"/>
      <c r="Z44" s="145"/>
      <c r="AA44" s="145"/>
    </row>
    <row r="45" spans="2:15" ht="39.75" customHeight="1" thickBot="1">
      <c r="B45" s="172" t="s">
        <v>4</v>
      </c>
      <c r="C45" s="173"/>
      <c r="D45" s="173"/>
      <c r="E45" s="173"/>
      <c r="F45" s="164" t="s">
        <v>3</v>
      </c>
      <c r="G45" s="164"/>
      <c r="H45" s="164"/>
      <c r="I45" s="165"/>
      <c r="J45" s="165"/>
      <c r="K45" s="165"/>
      <c r="L45" s="165"/>
      <c r="M45" s="165"/>
      <c r="N45" s="10" t="s">
        <v>17</v>
      </c>
      <c r="O45" s="10" t="s">
        <v>18</v>
      </c>
    </row>
    <row r="46" spans="2:15" ht="39.75" customHeight="1">
      <c r="B46" s="154">
        <f ca="1">IF($G$3="",IF(MONTH(TODAY())&gt;6,DATE(YEAR(TODAY())+1,MONTH(1),DAY(1)),DATE(YEAR(TODAY()),MONTH(1),DAY(1))),DATE($G$3,1,1))</f>
        <v>45292</v>
      </c>
      <c r="C46" s="155"/>
      <c r="D46" s="155"/>
      <c r="E46" s="156"/>
      <c r="F46" s="161" t="s">
        <v>7</v>
      </c>
      <c r="G46" s="193"/>
      <c r="H46" s="193"/>
      <c r="I46" s="193"/>
      <c r="J46" s="193"/>
      <c r="K46" s="193"/>
      <c r="L46" s="193"/>
      <c r="M46" s="194"/>
      <c r="N46" s="11">
        <v>1</v>
      </c>
      <c r="O46" s="11">
        <f aca="true" t="shared" si="12" ref="O46:O61">IF(N46&lt;MONTH($B$6),YEAR($B$6)+1,YEAR($B$6))</f>
        <v>2025</v>
      </c>
    </row>
    <row r="47" spans="2:24" ht="39.75" customHeight="1">
      <c r="B47" s="154">
        <f>IF(WEEKDAY(P103)=5,P103-3,IF(WEEKDAY(P103)=1,P103+1,IF(WEEKDAY(P103)=3,P103-1,IF(WEEKDAY(P103)=4,P103-2,IF(WEEKDAY(P103)=6,P103-4,IF(WEEKDAY(P103)=7,P103-5,P103))))))</f>
        <v>45670</v>
      </c>
      <c r="C47" s="155"/>
      <c r="D47" s="155"/>
      <c r="E47" s="156"/>
      <c r="F47" s="190" t="s">
        <v>8</v>
      </c>
      <c r="G47" s="191"/>
      <c r="H47" s="191"/>
      <c r="I47" s="191"/>
      <c r="J47" s="191"/>
      <c r="K47" s="191"/>
      <c r="L47" s="191"/>
      <c r="M47" s="192"/>
      <c r="N47" s="12">
        <v>1</v>
      </c>
      <c r="O47" s="12">
        <f t="shared" si="12"/>
        <v>2025</v>
      </c>
      <c r="X47" s="17"/>
    </row>
    <row r="48" spans="2:15" ht="39.75" customHeight="1">
      <c r="B48" s="154">
        <f>IF(U104=1,DATE(YEAR(P104),MONTH(P104),DAY(P104)+1),P104)</f>
        <v>45699</v>
      </c>
      <c r="C48" s="155"/>
      <c r="D48" s="155"/>
      <c r="E48" s="156"/>
      <c r="F48" s="190" t="s">
        <v>5</v>
      </c>
      <c r="G48" s="191"/>
      <c r="H48" s="191"/>
      <c r="I48" s="191"/>
      <c r="J48" s="191"/>
      <c r="K48" s="191"/>
      <c r="L48" s="191"/>
      <c r="M48" s="192"/>
      <c r="N48" s="12">
        <v>2</v>
      </c>
      <c r="O48" s="12">
        <f t="shared" si="12"/>
        <v>2024</v>
      </c>
    </row>
    <row r="49" spans="2:15" ht="39.75" customHeight="1">
      <c r="B49" s="154">
        <f>IF(U105=1,DATE(YEAR(P105),MONTH(P105),DAY(P105)+1),P105)</f>
        <v>45371</v>
      </c>
      <c r="C49" s="155"/>
      <c r="D49" s="155"/>
      <c r="E49" s="156"/>
      <c r="F49" s="190" t="s">
        <v>9</v>
      </c>
      <c r="G49" s="191"/>
      <c r="H49" s="191"/>
      <c r="I49" s="191"/>
      <c r="J49" s="191"/>
      <c r="K49" s="191"/>
      <c r="L49" s="191"/>
      <c r="M49" s="192"/>
      <c r="N49" s="12">
        <v>3</v>
      </c>
      <c r="O49" s="12">
        <f t="shared" si="12"/>
        <v>2024</v>
      </c>
    </row>
    <row r="50" spans="2:15" ht="39.75" customHeight="1">
      <c r="B50" s="154">
        <f>IF(U106=1,DATE(YEAR(P106),MONTH(P106),DAY(P106)+1),P106)</f>
        <v>45411</v>
      </c>
      <c r="C50" s="155"/>
      <c r="D50" s="155"/>
      <c r="E50" s="156"/>
      <c r="F50" s="190" t="s">
        <v>86</v>
      </c>
      <c r="G50" s="191"/>
      <c r="H50" s="191"/>
      <c r="I50" s="191"/>
      <c r="J50" s="191"/>
      <c r="K50" s="191"/>
      <c r="L50" s="191"/>
      <c r="M50" s="192"/>
      <c r="N50" s="12">
        <v>4</v>
      </c>
      <c r="O50" s="12">
        <f t="shared" si="12"/>
        <v>2024</v>
      </c>
    </row>
    <row r="51" spans="2:15" ht="39.75" customHeight="1">
      <c r="B51" s="154">
        <f>IF(P107="",DATE(O51,5,6),IF(U107=1,DATE(YEAR(P107),MONTH(P107),DAY(P107)+1),P107))</f>
        <v>45416</v>
      </c>
      <c r="C51" s="155"/>
      <c r="D51" s="155"/>
      <c r="E51" s="156"/>
      <c r="F51" s="190" t="str">
        <f>IF(P107="","Midori no hi
(Nature Day ) -substitue","Midori no hi
(Nature Day )")</f>
        <v>Midori no hi
(Nature Day )</v>
      </c>
      <c r="G51" s="191"/>
      <c r="H51" s="191"/>
      <c r="I51" s="191"/>
      <c r="J51" s="191"/>
      <c r="K51" s="191"/>
      <c r="L51" s="191"/>
      <c r="M51" s="192"/>
      <c r="N51" s="12">
        <v>5</v>
      </c>
      <c r="O51" s="12">
        <f t="shared" si="12"/>
        <v>2024</v>
      </c>
    </row>
    <row r="52" spans="2:15" ht="39.75" customHeight="1">
      <c r="B52" s="154">
        <f>IF(U108=1,DATE(YEAR(P108),MONTH(P108),DAY(P108)+1),P108)</f>
        <v>45415</v>
      </c>
      <c r="C52" s="155"/>
      <c r="D52" s="155"/>
      <c r="E52" s="156"/>
      <c r="F52" s="190" t="s">
        <v>10</v>
      </c>
      <c r="G52" s="191"/>
      <c r="H52" s="191"/>
      <c r="I52" s="191"/>
      <c r="J52" s="191"/>
      <c r="K52" s="191"/>
      <c r="L52" s="191"/>
      <c r="M52" s="192"/>
      <c r="N52" s="12">
        <v>5</v>
      </c>
      <c r="O52" s="12">
        <f t="shared" si="12"/>
        <v>2024</v>
      </c>
    </row>
    <row r="53" spans="2:15" ht="39.75" customHeight="1">
      <c r="B53" s="154">
        <f>IF(U109=1,DATE(YEAR(P109),MONTH(P109),DAY(P109)+1),P109)</f>
        <v>45418</v>
      </c>
      <c r="C53" s="155"/>
      <c r="D53" s="155"/>
      <c r="E53" s="156"/>
      <c r="F53" s="190" t="s">
        <v>11</v>
      </c>
      <c r="G53" s="191"/>
      <c r="H53" s="191"/>
      <c r="I53" s="191"/>
      <c r="J53" s="191"/>
      <c r="K53" s="191"/>
      <c r="L53" s="191"/>
      <c r="M53" s="192"/>
      <c r="N53" s="12">
        <v>5</v>
      </c>
      <c r="O53" s="12">
        <f t="shared" si="12"/>
        <v>2024</v>
      </c>
    </row>
    <row r="54" spans="2:15" ht="39.75" customHeight="1">
      <c r="B54" s="154">
        <f>IF(WEEKDAY(P110)=5,P110-3,IF(WEEKDAY(P110)=1,P110+1,IF(WEEKDAY(P110)=3,P110-1,IF(WEEKDAY(P110)=4,P110-2,IF(WEEKDAY(P110)=6,P110-4,IF(WEEKDAY(P110)=7,P110-5,P110))))))</f>
        <v>45488</v>
      </c>
      <c r="C54" s="155"/>
      <c r="D54" s="155"/>
      <c r="E54" s="156"/>
      <c r="F54" s="190" t="s">
        <v>2</v>
      </c>
      <c r="G54" s="191"/>
      <c r="H54" s="191"/>
      <c r="I54" s="191"/>
      <c r="J54" s="191"/>
      <c r="K54" s="191"/>
      <c r="L54" s="191"/>
      <c r="M54" s="192"/>
      <c r="N54" s="12">
        <v>7</v>
      </c>
      <c r="O54" s="12">
        <f t="shared" si="12"/>
        <v>2024</v>
      </c>
    </row>
    <row r="55" spans="2:15" ht="39.75" customHeight="1">
      <c r="B55" s="154">
        <f>IF(WEEKDAY(P111)=5,P111-3,IF(WEEKDAY(P111)=1,P111+1,IF(WEEKDAY(P111)=3,P111-1,IF(WEEKDAY(P111)=4,P111-2,IF(WEEKDAY(P111)=6,P111-4,IF(WEEKDAY(P111)=7,P111-5,P111))))))</f>
        <v>45551</v>
      </c>
      <c r="C55" s="155"/>
      <c r="D55" s="155"/>
      <c r="E55" s="156"/>
      <c r="F55" s="190" t="s">
        <v>12</v>
      </c>
      <c r="G55" s="191"/>
      <c r="H55" s="191"/>
      <c r="I55" s="191"/>
      <c r="J55" s="191"/>
      <c r="K55" s="191"/>
      <c r="L55" s="191"/>
      <c r="M55" s="192"/>
      <c r="N55" s="12">
        <v>9</v>
      </c>
      <c r="O55" s="12">
        <f t="shared" si="12"/>
        <v>2024</v>
      </c>
    </row>
    <row r="56" spans="2:15" ht="39.75" customHeight="1">
      <c r="B56" s="154">
        <f>IF(B57-B55=2,B55+1,"")</f>
      </c>
      <c r="C56" s="155"/>
      <c r="D56" s="155"/>
      <c r="E56" s="156"/>
      <c r="F56" s="190" t="s">
        <v>87</v>
      </c>
      <c r="G56" s="191"/>
      <c r="H56" s="191"/>
      <c r="I56" s="191"/>
      <c r="J56" s="191"/>
      <c r="K56" s="191"/>
      <c r="L56" s="191"/>
      <c r="M56" s="192"/>
      <c r="N56" s="12">
        <v>8</v>
      </c>
      <c r="O56" s="12">
        <f t="shared" si="12"/>
        <v>2024</v>
      </c>
    </row>
    <row r="57" spans="2:15" ht="39.75" customHeight="1">
      <c r="B57" s="154">
        <f>IF(U112=1,DATE(YEAR(P112),MONTH(P112),DAY(P112)+1),P112)</f>
        <v>45558</v>
      </c>
      <c r="C57" s="155"/>
      <c r="D57" s="155"/>
      <c r="E57" s="156"/>
      <c r="F57" s="190" t="s">
        <v>20</v>
      </c>
      <c r="G57" s="191"/>
      <c r="H57" s="191"/>
      <c r="I57" s="191"/>
      <c r="J57" s="191"/>
      <c r="K57" s="191"/>
      <c r="L57" s="191"/>
      <c r="M57" s="192"/>
      <c r="N57" s="12">
        <v>9</v>
      </c>
      <c r="O57" s="12">
        <f t="shared" si="12"/>
        <v>2024</v>
      </c>
    </row>
    <row r="58" spans="2:15" ht="39.75" customHeight="1">
      <c r="B58" s="154">
        <f>IF(U113=1,DATE(YEAR(P113),MONTH(P113),DAY(P113)+1),P113)</f>
        <v>45579</v>
      </c>
      <c r="C58" s="155"/>
      <c r="D58" s="155"/>
      <c r="E58" s="156"/>
      <c r="F58" s="190" t="s">
        <v>13</v>
      </c>
      <c r="G58" s="191"/>
      <c r="H58" s="191"/>
      <c r="I58" s="191"/>
      <c r="J58" s="191"/>
      <c r="K58" s="191"/>
      <c r="L58" s="191"/>
      <c r="M58" s="192"/>
      <c r="N58" s="12">
        <v>10</v>
      </c>
      <c r="O58" s="12">
        <f t="shared" si="12"/>
        <v>2024</v>
      </c>
    </row>
    <row r="59" spans="2:15" ht="39.75" customHeight="1">
      <c r="B59" s="154">
        <f>IF(U114=1,DATE(YEAR(P114),MONTH(P114),DAY(P114)+1),P114)</f>
        <v>45600</v>
      </c>
      <c r="C59" s="155"/>
      <c r="D59" s="155"/>
      <c r="E59" s="156"/>
      <c r="F59" s="190" t="s">
        <v>14</v>
      </c>
      <c r="G59" s="191"/>
      <c r="H59" s="191"/>
      <c r="I59" s="191"/>
      <c r="J59" s="191"/>
      <c r="K59" s="191"/>
      <c r="L59" s="191"/>
      <c r="M59" s="192"/>
      <c r="N59" s="12">
        <v>11</v>
      </c>
      <c r="O59" s="12">
        <f t="shared" si="12"/>
        <v>2024</v>
      </c>
    </row>
    <row r="60" spans="2:15" ht="39.75" customHeight="1">
      <c r="B60" s="154">
        <f>IF(U115=1,DATE(YEAR(P115),MONTH(P115),DAY(P115)+1),P115)</f>
        <v>45619</v>
      </c>
      <c r="C60" s="155"/>
      <c r="D60" s="155"/>
      <c r="E60" s="156"/>
      <c r="F60" s="190" t="s">
        <v>15</v>
      </c>
      <c r="G60" s="191"/>
      <c r="H60" s="191"/>
      <c r="I60" s="191"/>
      <c r="J60" s="191"/>
      <c r="K60" s="191"/>
      <c r="L60" s="191"/>
      <c r="M60" s="192"/>
      <c r="N60" s="12">
        <v>11</v>
      </c>
      <c r="O60" s="12">
        <f t="shared" si="12"/>
        <v>2024</v>
      </c>
    </row>
    <row r="61" spans="2:15" ht="39.75" customHeight="1" thickBot="1">
      <c r="B61" s="154">
        <f>IF(U116=1,DATE(YEAR(P116),MONTH(P116),DAY(P116)+1),P116)</f>
        <v>45649</v>
      </c>
      <c r="C61" s="155"/>
      <c r="D61" s="155"/>
      <c r="E61" s="156"/>
      <c r="F61" s="195" t="s">
        <v>16</v>
      </c>
      <c r="G61" s="196"/>
      <c r="H61" s="196"/>
      <c r="I61" s="196"/>
      <c r="J61" s="196"/>
      <c r="K61" s="196"/>
      <c r="L61" s="196"/>
      <c r="M61" s="197"/>
      <c r="N61" s="13">
        <v>12</v>
      </c>
      <c r="O61" s="13">
        <f t="shared" si="12"/>
        <v>2024</v>
      </c>
    </row>
    <row r="62" spans="2:5" ht="20.25" customHeight="1">
      <c r="B62" s="174"/>
      <c r="C62" s="174"/>
      <c r="D62" s="174"/>
      <c r="E62" s="174"/>
    </row>
    <row r="63" spans="1:5" ht="20.25" customHeight="1">
      <c r="A63" s="18" t="s">
        <v>23</v>
      </c>
      <c r="B63" s="174"/>
      <c r="C63" s="174"/>
      <c r="D63" s="174"/>
      <c r="E63" s="174"/>
    </row>
    <row r="64" spans="2:5" ht="20.25" customHeight="1">
      <c r="B64" s="174"/>
      <c r="C64" s="174"/>
      <c r="D64" s="174"/>
      <c r="E64" s="174"/>
    </row>
    <row r="65" spans="2:5" ht="20.25" customHeight="1">
      <c r="B65" s="174"/>
      <c r="C65" s="174"/>
      <c r="D65" s="174"/>
      <c r="E65" s="174"/>
    </row>
    <row r="66" spans="2:5" ht="20.25" customHeight="1">
      <c r="B66" s="174"/>
      <c r="C66" s="174"/>
      <c r="D66" s="174"/>
      <c r="E66" s="174"/>
    </row>
    <row r="67" spans="2:5" ht="20.25" customHeight="1">
      <c r="B67" s="174"/>
      <c r="C67" s="174"/>
      <c r="D67" s="174"/>
      <c r="E67" s="174"/>
    </row>
    <row r="68" spans="2:5" ht="20.25" customHeight="1">
      <c r="B68" s="174"/>
      <c r="C68" s="174"/>
      <c r="D68" s="174"/>
      <c r="E68" s="174"/>
    </row>
    <row r="69" spans="2:5" ht="20.25" customHeight="1">
      <c r="B69" s="174"/>
      <c r="C69" s="174"/>
      <c r="D69" s="174"/>
      <c r="E69" s="174"/>
    </row>
    <row r="70" spans="2:5" ht="20.25" customHeight="1">
      <c r="B70" s="174"/>
      <c r="C70" s="174"/>
      <c r="D70" s="174"/>
      <c r="E70" s="174"/>
    </row>
    <row r="71" spans="2:5" ht="20.25" customHeight="1">
      <c r="B71" s="174"/>
      <c r="C71" s="174"/>
      <c r="D71" s="174"/>
      <c r="E71" s="174"/>
    </row>
    <row r="72" spans="2:5" ht="20.25" customHeight="1">
      <c r="B72" s="174"/>
      <c r="C72" s="174"/>
      <c r="D72" s="174"/>
      <c r="E72" s="174"/>
    </row>
    <row r="73" spans="2:5" ht="20.25" customHeight="1">
      <c r="B73" s="174"/>
      <c r="C73" s="174"/>
      <c r="D73" s="174"/>
      <c r="E73" s="174"/>
    </row>
    <row r="74" spans="2:5" ht="20.25" customHeight="1">
      <c r="B74" s="174"/>
      <c r="C74" s="174"/>
      <c r="D74" s="174"/>
      <c r="E74" s="174"/>
    </row>
    <row r="75" spans="2:5" ht="20.25" customHeight="1">
      <c r="B75" s="174"/>
      <c r="C75" s="174"/>
      <c r="D75" s="174"/>
      <c r="E75" s="174"/>
    </row>
    <row r="76" spans="2:5" ht="20.25" customHeight="1">
      <c r="B76" s="174"/>
      <c r="C76" s="174"/>
      <c r="D76" s="174"/>
      <c r="E76" s="174"/>
    </row>
    <row r="77" spans="2:5" ht="20.25" customHeight="1">
      <c r="B77" s="174"/>
      <c r="C77" s="174"/>
      <c r="D77" s="174"/>
      <c r="E77" s="174"/>
    </row>
    <row r="78" spans="2:5" ht="20.25" customHeight="1">
      <c r="B78" s="174"/>
      <c r="C78" s="174"/>
      <c r="D78" s="174"/>
      <c r="E78" s="174"/>
    </row>
    <row r="79" spans="2:5" ht="20.25" customHeight="1">
      <c r="B79" s="174"/>
      <c r="C79" s="174"/>
      <c r="D79" s="174"/>
      <c r="E79" s="174"/>
    </row>
    <row r="80" spans="2:5" ht="20.25" customHeight="1">
      <c r="B80" s="174"/>
      <c r="C80" s="174"/>
      <c r="D80" s="174"/>
      <c r="E80" s="174"/>
    </row>
    <row r="81" spans="2:5" ht="20.25" customHeight="1">
      <c r="B81" s="174"/>
      <c r="C81" s="174"/>
      <c r="D81" s="174"/>
      <c r="E81" s="174"/>
    </row>
    <row r="82" spans="2:5" ht="20.25" customHeight="1">
      <c r="B82" s="174"/>
      <c r="C82" s="174"/>
      <c r="D82" s="174"/>
      <c r="E82" s="174"/>
    </row>
    <row r="83" spans="2:5" ht="20.25" customHeight="1">
      <c r="B83" s="174"/>
      <c r="C83" s="174"/>
      <c r="D83" s="174"/>
      <c r="E83" s="174"/>
    </row>
    <row r="84" spans="2:5" ht="20.25" customHeight="1">
      <c r="B84" s="174"/>
      <c r="C84" s="174"/>
      <c r="D84" s="174"/>
      <c r="E84" s="174"/>
    </row>
    <row r="85" spans="2:5" ht="20.25" customHeight="1">
      <c r="B85" s="174"/>
      <c r="C85" s="174"/>
      <c r="D85" s="174"/>
      <c r="E85" s="174"/>
    </row>
    <row r="86" spans="2:5" ht="20.25" customHeight="1">
      <c r="B86" s="174"/>
      <c r="C86" s="174"/>
      <c r="D86" s="174"/>
      <c r="E86" s="174"/>
    </row>
    <row r="87" spans="2:5" ht="20.25" customHeight="1">
      <c r="B87" s="174"/>
      <c r="C87" s="174"/>
      <c r="D87" s="174"/>
      <c r="E87" s="174"/>
    </row>
    <row r="88" spans="2:5" ht="20.25" customHeight="1">
      <c r="B88" s="174"/>
      <c r="C88" s="174"/>
      <c r="D88" s="174"/>
      <c r="E88" s="174"/>
    </row>
    <row r="89" spans="2:5" ht="20.25" customHeight="1">
      <c r="B89" s="174"/>
      <c r="C89" s="174"/>
      <c r="D89" s="174"/>
      <c r="E89" s="174"/>
    </row>
    <row r="90" spans="2:5" ht="20.25" customHeight="1">
      <c r="B90" s="174"/>
      <c r="C90" s="174"/>
      <c r="D90" s="174"/>
      <c r="E90" s="174"/>
    </row>
    <row r="91" spans="2:5" ht="20.25" customHeight="1">
      <c r="B91" s="174"/>
      <c r="C91" s="174"/>
      <c r="D91" s="174"/>
      <c r="E91" s="174"/>
    </row>
    <row r="92" spans="2:5" ht="20.25" customHeight="1">
      <c r="B92" s="174"/>
      <c r="C92" s="174"/>
      <c r="D92" s="174"/>
      <c r="E92" s="174"/>
    </row>
    <row r="93" spans="2:5" ht="20.25" customHeight="1">
      <c r="B93" s="174"/>
      <c r="C93" s="174"/>
      <c r="D93" s="174"/>
      <c r="E93" s="174"/>
    </row>
    <row r="94" spans="2:5" ht="20.25" customHeight="1">
      <c r="B94" s="174"/>
      <c r="C94" s="174"/>
      <c r="D94" s="174"/>
      <c r="E94" s="174"/>
    </row>
    <row r="95" spans="2:5" ht="20.25" customHeight="1">
      <c r="B95" s="174"/>
      <c r="C95" s="174"/>
      <c r="D95" s="174"/>
      <c r="E95" s="174"/>
    </row>
    <row r="96" spans="2:5" ht="20.25" customHeight="1">
      <c r="B96" s="174"/>
      <c r="C96" s="174"/>
      <c r="D96" s="174"/>
      <c r="E96" s="174"/>
    </row>
    <row r="97" spans="2:5" ht="20.25" customHeight="1">
      <c r="B97" s="174"/>
      <c r="C97" s="174"/>
      <c r="D97" s="174"/>
      <c r="E97" s="174"/>
    </row>
    <row r="98" spans="2:5" ht="20.25" customHeight="1">
      <c r="B98" s="174"/>
      <c r="C98" s="174"/>
      <c r="D98" s="174"/>
      <c r="E98" s="174"/>
    </row>
    <row r="99" spans="2:5" ht="20.25" customHeight="1">
      <c r="B99" s="174"/>
      <c r="C99" s="174"/>
      <c r="D99" s="174"/>
      <c r="E99" s="174"/>
    </row>
    <row r="100" spans="2:5" ht="20.25" customHeight="1" thickBot="1">
      <c r="B100" s="174"/>
      <c r="C100" s="174"/>
      <c r="D100" s="174"/>
      <c r="E100" s="174"/>
    </row>
    <row r="101" spans="2:22" ht="20.25" customHeight="1" thickBot="1">
      <c r="B101" s="174"/>
      <c r="C101" s="174"/>
      <c r="D101" s="174"/>
      <c r="E101" s="174"/>
      <c r="P101" s="177" t="s">
        <v>6</v>
      </c>
      <c r="Q101" s="178"/>
      <c r="R101" s="178"/>
      <c r="S101" s="178"/>
      <c r="T101" s="179"/>
      <c r="U101" s="183" t="s">
        <v>19</v>
      </c>
      <c r="V101" s="184"/>
    </row>
    <row r="102" spans="2:22" ht="20.25" customHeight="1">
      <c r="B102" s="176"/>
      <c r="C102" s="176"/>
      <c r="D102" s="176"/>
      <c r="E102" s="176"/>
      <c r="P102" s="180">
        <f>B46</f>
        <v>45292</v>
      </c>
      <c r="Q102" s="181"/>
      <c r="R102" s="181"/>
      <c r="S102" s="181"/>
      <c r="T102" s="182"/>
      <c r="U102" s="152">
        <f>WEEKDAY(P102)</f>
        <v>2</v>
      </c>
      <c r="V102" s="153"/>
    </row>
    <row r="103" spans="16:32" ht="20.25" customHeight="1">
      <c r="P103" s="15">
        <f>DATE(YEAR(Q103),1,1)+14-WEEKDAY(DATE(YEAR(Q103),1,1),3)-7*NOT(WEEKDAY(DATE(YEAR(Q103),1,1),3))</f>
        <v>45670</v>
      </c>
      <c r="Q103" s="15">
        <f ca="1">IF($G$3="",IF(MONTH(TODAY())&gt;1,DATE(YEAR(TODAY())+1,1,1),DATE(YEAR(TODAY()),1,1)),DATE($G$3,1,1))</f>
        <v>45658</v>
      </c>
      <c r="R103" s="15"/>
      <c r="S103" s="15"/>
      <c r="T103" s="16"/>
      <c r="U103" s="146">
        <f>WEEKDAY(P103)</f>
        <v>2</v>
      </c>
      <c r="V103" s="147"/>
      <c r="X103" s="20" t="s">
        <v>57</v>
      </c>
      <c r="Z103" s="188" t="s">
        <v>58</v>
      </c>
      <c r="AA103" s="189"/>
      <c r="AB103" s="175">
        <f>IF(WEEKDAY(P103)=5,P103-3,IF(WEEKDAY(P103)=1,P103+1,IF(WEEKDAY(P103)=3,P103-1,IF(WEEKDAY(P103)=4,P103-2,IF(WEEKDAY(P103)=6,P103-4,IF(WEEKDAY(P103)=7,P103-5,P103))))))</f>
        <v>45670</v>
      </c>
      <c r="AC103" s="175"/>
      <c r="AD103" s="21" t="s">
        <v>48</v>
      </c>
      <c r="AE103" s="43"/>
      <c r="AF103" s="43"/>
    </row>
    <row r="104" spans="16:22" ht="20.25" customHeight="1">
      <c r="P104" s="150">
        <f>DATE(YEAR(Q103),2,11)</f>
        <v>45699</v>
      </c>
      <c r="Q104" s="150"/>
      <c r="R104" s="150"/>
      <c r="S104" s="150"/>
      <c r="T104" s="151"/>
      <c r="U104" s="146">
        <f>WEEKDAY(P104)</f>
        <v>3</v>
      </c>
      <c r="V104" s="147"/>
    </row>
    <row r="105" spans="16:22" ht="20.25" customHeight="1">
      <c r="P105" s="150">
        <f>DATE(O49,3,INT(20.8431+0.242194*(O49-1980)-INT((O49-1980)/4)))</f>
        <v>45371</v>
      </c>
      <c r="Q105" s="150"/>
      <c r="R105" s="150"/>
      <c r="S105" s="150"/>
      <c r="T105" s="151"/>
      <c r="U105" s="146">
        <f>WEEKDAY(P105)</f>
        <v>4</v>
      </c>
      <c r="V105" s="147"/>
    </row>
    <row r="106" spans="16:22" ht="20.25" customHeight="1">
      <c r="P106" s="150">
        <f>DATE(O50,4,29)</f>
        <v>45411</v>
      </c>
      <c r="Q106" s="150"/>
      <c r="R106" s="150"/>
      <c r="S106" s="150"/>
      <c r="T106" s="151"/>
      <c r="U106" s="146">
        <f>WEEKDAY(P106)</f>
        <v>2</v>
      </c>
      <c r="V106" s="147"/>
    </row>
    <row r="107" spans="16:22" ht="20.25" customHeight="1">
      <c r="P107" s="150">
        <f>IF(OR(WEEKDAY(DATE(O51,5,3))=1,WEEKDAY(DATE(O51,5,4))=1),"",DATE(O51,5,4))</f>
        <v>45416</v>
      </c>
      <c r="Q107" s="150"/>
      <c r="R107" s="150"/>
      <c r="S107" s="150"/>
      <c r="T107" s="151"/>
      <c r="U107" s="146">
        <f>IF(WEEKDAY(DATE(O51,5,6))=1,1,WEEKDAY(P107))</f>
        <v>7</v>
      </c>
      <c r="V107" s="147"/>
    </row>
    <row r="108" spans="16:22" ht="20.25" customHeight="1">
      <c r="P108" s="150">
        <f>DATE(O52,5,3)</f>
        <v>45415</v>
      </c>
      <c r="Q108" s="150"/>
      <c r="R108" s="150"/>
      <c r="S108" s="150"/>
      <c r="T108" s="151"/>
      <c r="U108" s="146">
        <f aca="true" t="shared" si="13" ref="U108:U116">WEEKDAY(P108)</f>
        <v>6</v>
      </c>
      <c r="V108" s="147"/>
    </row>
    <row r="109" spans="16:22" ht="20.25" customHeight="1">
      <c r="P109" s="150">
        <f>DATE(O53,5,5)</f>
        <v>45417</v>
      </c>
      <c r="Q109" s="150"/>
      <c r="R109" s="150"/>
      <c r="S109" s="150"/>
      <c r="T109" s="151"/>
      <c r="U109" s="146">
        <f t="shared" si="13"/>
        <v>1</v>
      </c>
      <c r="V109" s="147"/>
    </row>
    <row r="110" spans="16:23" ht="20.25" customHeight="1">
      <c r="P110" s="15">
        <f>IF(WEEKDAY(DATE(YEAR($P$102),MONTH(W110),DAY(1)))=2,DATE(YEAR($P$102),MONTH(W110),DAY(1))+14,IF(OR(WEEKDAY(DATE(YEAR($P$102),MONTH(W110),DAY(1)))=1,WEEKDAY(DATE(YEAR($P$102),MONTH(W110),DAY(1)))=3,WEEKDAY(DATE(YEAR($P$102),MONTH(W110),DAY(1)))=4,WEEKDAY(DATE(YEAR($P$102),MONTH(W110),DAY(1)))=5,WEEKDAY(DATE(YEAR($P$102),MONTH(W110),DAY(1)))=6,WEEKDAY(DATE(YEAR($P$102),MONTH(W110),DAY(1)))=7),DATE(YEAR($P$102),MONTH(W110),DAY(1)))+(22-WEEKDAY(DATE(YEAR($P$102),MONTH(W110),DAY(1)),2)))</f>
        <v>45488</v>
      </c>
      <c r="Q110" s="15"/>
      <c r="R110" s="15"/>
      <c r="S110" s="15"/>
      <c r="T110" s="16"/>
      <c r="U110" s="146">
        <f t="shared" si="13"/>
        <v>2</v>
      </c>
      <c r="V110" s="147"/>
      <c r="W110" s="28">
        <v>37451</v>
      </c>
    </row>
    <row r="111" spans="16:23" ht="20.25" customHeight="1">
      <c r="P111" s="15">
        <f>IF(WEEKDAY(DATE(O55,MONTH(W111),DAY(1)))=2,DATE(O55,MONTH(W111),DAY(1))+14,IF(OR(WEEKDAY(DATE(O55,MONTH(W111),DAY(1)))=1,WEEKDAY(DATE(O55,MONTH(W111),DAY(1)))=3,WEEKDAY(DATE(O55,MONTH(W111),DAY(1)))=4,WEEKDAY(DATE(O55,MONTH(W111),DAY(1)))=5,WEEKDAY(DATE(O55,MONTH(W111),DAY(1)))=6,WEEKDAY(DATE(O55,MONTH(W111),DAY(1)))=7),DATE(O55,MONTH(W111),DAY(1)))+(22-WEEKDAY(DATE(O55,MONTH(W111),DAY(1)),2)))</f>
        <v>45551</v>
      </c>
      <c r="Q111" s="15"/>
      <c r="R111" s="15"/>
      <c r="S111" s="15"/>
      <c r="T111" s="16"/>
      <c r="U111" s="146">
        <f t="shared" si="13"/>
        <v>2</v>
      </c>
      <c r="V111" s="147"/>
      <c r="W111" s="28">
        <v>37513</v>
      </c>
    </row>
    <row r="112" spans="16:22" ht="20.25" customHeight="1">
      <c r="P112" s="150">
        <f>DATE(O57,9,INT(23.2488+0.242194*(O57-1980)-INT((O57-1980)/4)))</f>
        <v>45557</v>
      </c>
      <c r="Q112" s="150"/>
      <c r="R112" s="150"/>
      <c r="S112" s="150"/>
      <c r="T112" s="151"/>
      <c r="U112" s="146">
        <f t="shared" si="13"/>
        <v>1</v>
      </c>
      <c r="V112" s="147"/>
    </row>
    <row r="113" spans="16:22" ht="20.25" customHeight="1">
      <c r="P113" s="150">
        <f>DATE(O58,10,1)+14-WEEKDAY(DATE(O58,10,1),3)-7*NOT(WEEKDAY(DATE(O58,10,1),3))</f>
        <v>45579</v>
      </c>
      <c r="Q113" s="150"/>
      <c r="R113" s="150"/>
      <c r="S113" s="150"/>
      <c r="T113" s="151"/>
      <c r="U113" s="146">
        <f t="shared" si="13"/>
        <v>2</v>
      </c>
      <c r="V113" s="147"/>
    </row>
    <row r="114" spans="16:22" ht="20.25" customHeight="1">
      <c r="P114" s="150">
        <f>DATE(O59,11,3)</f>
        <v>45599</v>
      </c>
      <c r="Q114" s="150"/>
      <c r="R114" s="150"/>
      <c r="S114" s="150"/>
      <c r="T114" s="151"/>
      <c r="U114" s="146">
        <f t="shared" si="13"/>
        <v>1</v>
      </c>
      <c r="V114" s="147"/>
    </row>
    <row r="115" spans="16:22" ht="20.25" customHeight="1">
      <c r="P115" s="150">
        <f>DATE(O60,11,23)</f>
        <v>45619</v>
      </c>
      <c r="Q115" s="150"/>
      <c r="R115" s="150"/>
      <c r="S115" s="150"/>
      <c r="T115" s="151"/>
      <c r="U115" s="146">
        <f t="shared" si="13"/>
        <v>7</v>
      </c>
      <c r="V115" s="147"/>
    </row>
    <row r="116" spans="16:22" ht="20.25" customHeight="1" thickBot="1">
      <c r="P116" s="159">
        <f>DATE(O61,12,23)</f>
        <v>45649</v>
      </c>
      <c r="Q116" s="159"/>
      <c r="R116" s="159"/>
      <c r="S116" s="159"/>
      <c r="T116" s="160"/>
      <c r="U116" s="148">
        <f t="shared" si="13"/>
        <v>2</v>
      </c>
      <c r="V116" s="149"/>
    </row>
    <row r="117" spans="1:26" ht="20.25" customHeight="1">
      <c r="A117" s="18" t="s">
        <v>23</v>
      </c>
      <c r="Z117" s="18" t="s">
        <v>23</v>
      </c>
    </row>
    <row r="118" ht="20.25" customHeight="1">
      <c r="O118" s="19" t="s">
        <v>23</v>
      </c>
    </row>
  </sheetData>
  <sheetProtection/>
  <mergeCells count="124">
    <mergeCell ref="AB103:AC103"/>
    <mergeCell ref="B99:E99"/>
    <mergeCell ref="B100:E100"/>
    <mergeCell ref="B101:E101"/>
    <mergeCell ref="B102:E102"/>
    <mergeCell ref="P101:T101"/>
    <mergeCell ref="P102:T102"/>
    <mergeCell ref="U101:V101"/>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79:E79"/>
    <mergeCell ref="B80:E80"/>
    <mergeCell ref="B81:E81"/>
    <mergeCell ref="B82:E82"/>
    <mergeCell ref="B75:E75"/>
    <mergeCell ref="B76:E76"/>
    <mergeCell ref="B77:E77"/>
    <mergeCell ref="B78:E78"/>
    <mergeCell ref="B71:E71"/>
    <mergeCell ref="B72:E72"/>
    <mergeCell ref="B73:E73"/>
    <mergeCell ref="B74:E74"/>
    <mergeCell ref="B67:E67"/>
    <mergeCell ref="B68:E68"/>
    <mergeCell ref="B69:E69"/>
    <mergeCell ref="B70:E70"/>
    <mergeCell ref="B63:E63"/>
    <mergeCell ref="B64:E64"/>
    <mergeCell ref="B65:E65"/>
    <mergeCell ref="B66:E66"/>
    <mergeCell ref="B58:E58"/>
    <mergeCell ref="B59:E59"/>
    <mergeCell ref="B61:E61"/>
    <mergeCell ref="B62:E62"/>
    <mergeCell ref="B60:E60"/>
    <mergeCell ref="B54:E54"/>
    <mergeCell ref="B55:E55"/>
    <mergeCell ref="B57:E57"/>
    <mergeCell ref="B56:E56"/>
    <mergeCell ref="B5:H5"/>
    <mergeCell ref="B45:E45"/>
    <mergeCell ref="B46:E46"/>
    <mergeCell ref="B47:E47"/>
    <mergeCell ref="B48:E48"/>
    <mergeCell ref="B50:E50"/>
    <mergeCell ref="J6:P6"/>
    <mergeCell ref="R6:X6"/>
    <mergeCell ref="B15:H15"/>
    <mergeCell ref="J15:P15"/>
    <mergeCell ref="B6:H6"/>
    <mergeCell ref="AA3:AB3"/>
    <mergeCell ref="B51:E51"/>
    <mergeCell ref="B52:E52"/>
    <mergeCell ref="F61:M61"/>
    <mergeCell ref="F60:M60"/>
    <mergeCell ref="F59:M59"/>
    <mergeCell ref="F58:M58"/>
    <mergeCell ref="F57:M57"/>
    <mergeCell ref="F55:M55"/>
    <mergeCell ref="B53:E53"/>
    <mergeCell ref="F54:M54"/>
    <mergeCell ref="F53:M53"/>
    <mergeCell ref="F56:M56"/>
    <mergeCell ref="F52:M52"/>
    <mergeCell ref="F51:M51"/>
    <mergeCell ref="F50:M50"/>
    <mergeCell ref="F49:M49"/>
    <mergeCell ref="F46:M46"/>
    <mergeCell ref="B24:H24"/>
    <mergeCell ref="J24:P24"/>
    <mergeCell ref="F45:M45"/>
    <mergeCell ref="B33:H33"/>
    <mergeCell ref="J33:P33"/>
    <mergeCell ref="B49:E49"/>
    <mergeCell ref="P104:T104"/>
    <mergeCell ref="F48:M48"/>
    <mergeCell ref="F47:M47"/>
    <mergeCell ref="P116:T116"/>
    <mergeCell ref="P109:T109"/>
    <mergeCell ref="P112:T112"/>
    <mergeCell ref="P113:T113"/>
    <mergeCell ref="P114:T114"/>
    <mergeCell ref="P115:T115"/>
    <mergeCell ref="P105:T105"/>
    <mergeCell ref="P106:T106"/>
    <mergeCell ref="P107:T107"/>
    <mergeCell ref="P108:T108"/>
    <mergeCell ref="U102:V102"/>
    <mergeCell ref="U103:V103"/>
    <mergeCell ref="U104:V104"/>
    <mergeCell ref="U105:V105"/>
    <mergeCell ref="U106:V106"/>
    <mergeCell ref="U107:V107"/>
    <mergeCell ref="Z103:AA103"/>
    <mergeCell ref="U108:V108"/>
    <mergeCell ref="U116:V116"/>
    <mergeCell ref="U110:V110"/>
    <mergeCell ref="U111:V111"/>
    <mergeCell ref="U112:V112"/>
    <mergeCell ref="U113:V113"/>
    <mergeCell ref="X44:AA44"/>
    <mergeCell ref="U1:Z1"/>
    <mergeCell ref="U109:V109"/>
    <mergeCell ref="U114:V114"/>
    <mergeCell ref="U115:V115"/>
    <mergeCell ref="R15:X15"/>
    <mergeCell ref="R24:X24"/>
    <mergeCell ref="U2:Z2"/>
    <mergeCell ref="T3:X4"/>
    <mergeCell ref="R33:X33"/>
  </mergeCells>
  <conditionalFormatting sqref="H7">
    <cfRule type="expression" priority="1" dxfId="17" stopIfTrue="1">
      <formula>AND((WEEKDAY(DATE(YEAR($A$2),MONTH($A$2),DAY($A$2)))=7),$G$2="")</formula>
    </cfRule>
    <cfRule type="expression" priority="2" dxfId="17" stopIfTrue="1">
      <formula>AND((WEEKDAY(DATE(YEAR($A$2),MONTH($A$2),DAY($A$2)))=7),YEAR($AA$2)=YEAR(TODAY()),$G$2&lt;&gt;"",OR(MONTH($A$2)=1,MONTH($A$2)=4,MONTH($A$2)=7,MONTH($A$2)=10))</formula>
    </cfRule>
  </conditionalFormatting>
  <conditionalFormatting sqref="G7">
    <cfRule type="expression" priority="3" dxfId="20" stopIfTrue="1">
      <formula>AND((WEEKDAY(DATE(YEAR($A$2),MONTH($A$2),DAY($A$2)))=6),$G$3="")</formula>
    </cfRule>
    <cfRule type="expression" priority="4" dxfId="20" stopIfTrue="1">
      <formula>AND((WEEKDAY(DATE(YEAR($A$2),MONTH($A$2),DAY($A$2)))=6),YEAR(AA3)=YEAR(TODAY()),$G$3&lt;&gt;"",OR(MONTH($A$2)=1,MONTH($A$2)=4,MONTH($A$2)=7,MONTH($A$2)=10))</formula>
    </cfRule>
  </conditionalFormatting>
  <conditionalFormatting sqref="C7">
    <cfRule type="expression" priority="5" dxfId="35" stopIfTrue="1">
      <formula>AND((WEEKDAY(DATE(YEAR($A$2),MONTH($A$2),DAY($A$2)))=2),$G$3="")</formula>
    </cfRule>
    <cfRule type="expression" priority="6" dxfId="35" stopIfTrue="1">
      <formula>AND((WEEKDAY(DATE(YEAR($A$2),MONTH($A$2),DAY($A$2)))=2),YEAR(AA3)=YEAR(TODAY()),$G$3&lt;&gt;"",OR(MONTH($A$2)=1,MONTH($A$2)=4,MONTH($A$2)=7,MONTH($A$2)=10))</formula>
    </cfRule>
  </conditionalFormatting>
  <conditionalFormatting sqref="D7">
    <cfRule type="expression" priority="7" dxfId="29" stopIfTrue="1">
      <formula>AND((WEEKDAY(DATE(YEAR($A$2),MONTH($A$2),DAY($A$2)))=3),$G$3="")</formula>
    </cfRule>
    <cfRule type="expression" priority="8" dxfId="29" stopIfTrue="1">
      <formula>AND((WEEKDAY(DATE(YEAR($A$2),MONTH($A$2),DAY($A$2)))=3),YEAR(AA3)=YEAR(TODAY()),$G$3&lt;&gt;"",OR(MONTH($A$2)=1,MONTH($A$2)=4,MONTH($A$2)=7,MONTH($A$2)=10))</formula>
    </cfRule>
  </conditionalFormatting>
  <conditionalFormatting sqref="E7">
    <cfRule type="expression" priority="9" dxfId="26" stopIfTrue="1">
      <formula>AND((WEEKDAY(DATE(YEAR($A$2),MONTH($A$2),DAY($A$2)))=4),$G$3="")</formula>
    </cfRule>
    <cfRule type="expression" priority="10" dxfId="26" stopIfTrue="1">
      <formula>AND((WEEKDAY(DATE(YEAR($A$2),MONTH($A$2),DAY($A$2)))=4),YEAR(AA3)=YEAR(TODAY()),$G$3&lt;&gt;"",OR(MONTH($A$2)=1,MONTH($A$2)=4,MONTH($A$2)=7,MONTH($A$2)=10))</formula>
    </cfRule>
  </conditionalFormatting>
  <conditionalFormatting sqref="F7">
    <cfRule type="expression" priority="11" dxfId="23" stopIfTrue="1">
      <formula>AND((WEEKDAY(DATE(YEAR($A$2),MONTH($A$2),DAY($A$2)))=5),$G$3="")</formula>
    </cfRule>
    <cfRule type="expression" priority="12" dxfId="23" stopIfTrue="1">
      <formula>AND((WEEKDAY(DATE(YEAR($A$2),MONTH($A$2),DAY($A$2)))=5),YEAR(AA3)=YEAR(TODAY()),$G$3&lt;&gt;"",OR(MONTH($A$2)=1,MONTH($A$2)=4,MONTH($A$2)=7,MONTH($A$2)=10))</formula>
    </cfRule>
  </conditionalFormatting>
  <conditionalFormatting sqref="C8:C13 K8:K13 S8:S13 C17:C22 K17:K22 S17:S22 C26:C31 K26:K31 S26:S31 C35:C40 K35:K40 S35:S40">
    <cfRule type="expression" priority="13" dxfId="35" stopIfTrue="1">
      <formula>AND(C8=TODAY(),((WEEKDAY(DATE(YEAR(C8),MONTH(C8),DAY(C8)))=2)))</formula>
    </cfRule>
    <cfRule type="expression" priority="14" dxfId="326" stopIfTrue="1">
      <formula>(C8&lt;TODAY())</formula>
    </cfRule>
    <cfRule type="expression" priority="15" dxfId="327" stopIfTrue="1">
      <formula>AND(COUNTIF($B$46:$B$100,C8)=1,C8&gt;=TODAY())</formula>
    </cfRule>
  </conditionalFormatting>
  <conditionalFormatting sqref="D8:D13 L8:L13 T8:T13 D17:D22 L17:L22 T17:T22 D26:D31 L26:L31 T26:T31 D35:D40 L35:L40 T35:T40">
    <cfRule type="expression" priority="16" dxfId="29" stopIfTrue="1">
      <formula>AND(D8=TODAY(),((WEEKDAY(DATE(YEAR(D8),MONTH(D8),DAY(D8)))=3)))</formula>
    </cfRule>
    <cfRule type="expression" priority="17" dxfId="326" stopIfTrue="1">
      <formula>(D8&lt;TODAY())</formula>
    </cfRule>
    <cfRule type="expression" priority="18" dxfId="327" stopIfTrue="1">
      <formula>AND(COUNTIF($B$46:$B$100,D8)=1,D8&gt;=TODAY())</formula>
    </cfRule>
  </conditionalFormatting>
  <conditionalFormatting sqref="E8:E13 M8:M13 U8:U13 E17:E22 M17:M22 U17:U22 E26:E31 M26:M31 U26:U31 E35:E40 M35:M40 U35:U40">
    <cfRule type="expression" priority="19" dxfId="26" stopIfTrue="1">
      <formula>AND(E8=TODAY(),((WEEKDAY(DATE(YEAR(E8),MONTH(E8),DAY(E8)))=4)))</formula>
    </cfRule>
    <cfRule type="expression" priority="20" dxfId="326" stopIfTrue="1">
      <formula>(E8&lt;TODAY())</formula>
    </cfRule>
    <cfRule type="expression" priority="21" dxfId="327" stopIfTrue="1">
      <formula>AND(COUNTIF($B$46:$B$100,E8)=1,E8&gt;=TODAY())</formula>
    </cfRule>
  </conditionalFormatting>
  <conditionalFormatting sqref="F8:F13 N8:N13 V8:V13 F17:F22 N17:N22 V17:V22 F26:F31 N26:N31 V26:V31 F35:F40 N35:N40 V35:V40">
    <cfRule type="expression" priority="22" dxfId="23" stopIfTrue="1">
      <formula>AND(F8=TODAY(),((WEEKDAY(DATE(YEAR(F8),MONTH(F8),DAY(F8)))=5)))</formula>
    </cfRule>
    <cfRule type="expression" priority="23" dxfId="326" stopIfTrue="1">
      <formula>(F8&lt;TODAY())</formula>
    </cfRule>
    <cfRule type="expression" priority="24" dxfId="327" stopIfTrue="1">
      <formula>AND(COUNTIF($B$46:$B$100,F8)=1,F8&gt;=TODAY())</formula>
    </cfRule>
  </conditionalFormatting>
  <conditionalFormatting sqref="G8:G13 O8:O13 W8:W13 G17:G22 O17:O22 W17:W22 G26:G31 O26:O31 W26:W31 G35:G40 O35:O40 W35:W40">
    <cfRule type="expression" priority="25" dxfId="20" stopIfTrue="1">
      <formula>AND(G8=TODAY(),((WEEKDAY(DATE(YEAR(G8),MONTH(G8),DAY(G8)))=6)))</formula>
    </cfRule>
    <cfRule type="expression" priority="26" dxfId="326" stopIfTrue="1">
      <formula>(G8&lt;TODAY())</formula>
    </cfRule>
    <cfRule type="expression" priority="27" dxfId="327" stopIfTrue="1">
      <formula>AND(COUNTIF($B$46:$B$100,G8)=1,G8&gt;=TODAY())</formula>
    </cfRule>
  </conditionalFormatting>
  <conditionalFormatting sqref="B8:B13 J8:J13 R8:R13 B17:B22 J17:J22 R17:R22 B26:B31 J26:J31 R26:R31 B35:B40 J35:J40 R35:R40">
    <cfRule type="expression" priority="28" dxfId="32" stopIfTrue="1">
      <formula>AND(B8=TODAY(),((WEEKDAY(DATE(YEAR(B8),MONTH(B8),DAY(B8)))=1)))</formula>
    </cfRule>
    <cfRule type="expression" priority="29" dxfId="326" stopIfTrue="1">
      <formula>(B8&lt;TODAY())</formula>
    </cfRule>
    <cfRule type="expression" priority="30" dxfId="327" stopIfTrue="1">
      <formula>AND(COUNTIF($B$46:$B$100,B8)&gt;=1,B8&gt;=TODAY())</formula>
    </cfRule>
  </conditionalFormatting>
  <conditionalFormatting sqref="H8:H13 P8:P13 X8:X13 H17:H22 P17:P22 X17:X22 H26:H31 P26:P31 X26:X31 H35:H40 P35:P40 X35:X40">
    <cfRule type="expression" priority="31" dxfId="17" stopIfTrue="1">
      <formula>AND(H8=TODAY(),((WEEKDAY(DATE(YEAR(H8),MONTH(H8),DAY(H8)))=7)))</formula>
    </cfRule>
    <cfRule type="expression" priority="32" dxfId="326" stopIfTrue="1">
      <formula>(H8&lt;TODAY())</formula>
    </cfRule>
    <cfRule type="expression" priority="33" dxfId="327" stopIfTrue="1">
      <formula>AND(COUNTIF($B$46:$B$100,H8)&gt;=1,H8&gt;=TODAY())</formula>
    </cfRule>
  </conditionalFormatting>
  <conditionalFormatting sqref="B62:E101 B46:B61">
    <cfRule type="expression" priority="34" dxfId="326" stopIfTrue="1">
      <formula>($B46&lt;TODAY())</formula>
    </cfRule>
  </conditionalFormatting>
  <conditionalFormatting sqref="K7">
    <cfRule type="expression" priority="35" dxfId="35" stopIfTrue="1">
      <formula>AND((WEEKDAY(DATE(YEAR($A$2),MONTH($A$2),DAY($A$2)))=2),YEAR($AA$2)=YEAR(TODAY()),$G$2&lt;&gt;"",OR(MONTH($A$2)=2,MONTH($A$2)=5,MONTH($A$2)=8,MONTH($A$2)=11))</formula>
    </cfRule>
  </conditionalFormatting>
  <conditionalFormatting sqref="L7">
    <cfRule type="expression" priority="36" dxfId="29" stopIfTrue="1">
      <formula>AND((WEEKDAY(DATE(YEAR($A$2),MONTH($A$2),DAY($A$2)))=3),YEAR($AA$3)=YEAR(TODAY()),$G$3&lt;&gt;"",OR(MONTH($A$2)=2,MONTH($A$2)=5,MONTH($A$2)=8,MONTH($A$2)=11))</formula>
    </cfRule>
  </conditionalFormatting>
  <conditionalFormatting sqref="M7">
    <cfRule type="expression" priority="37" dxfId="26" stopIfTrue="1">
      <formula>AND((WEEKDAY(DATE(YEAR($A$2),MONTH($A$2),DAY($A$2)))=4),YEAR($AA$3)=YEAR(TODAY()),$G$3&lt;&gt;"",OR(MONTH($A$2)=2,MONTH($A$2)=5,MONTH($A$2)=8,MONTH($A$2)=11))</formula>
    </cfRule>
  </conditionalFormatting>
  <conditionalFormatting sqref="N7">
    <cfRule type="expression" priority="38" dxfId="23" stopIfTrue="1">
      <formula>AND((WEEKDAY(DATE(YEAR($A$2),MONTH($A$2),DAY($A$2)))=5),YEAR($AA$3)=YEAR(TODAY()),$G$3&lt;&gt;"",OR(MONTH($A$2)=2,MONTH($A$2)=5,MONTH($A$2)=8,MONTH($A$2)=11))</formula>
    </cfRule>
  </conditionalFormatting>
  <conditionalFormatting sqref="O7">
    <cfRule type="expression" priority="39" dxfId="20" stopIfTrue="1">
      <formula>AND((WEEKDAY(DATE(YEAR($A$2),MONTH($A$2),DAY($A$2)))=6),YEAR($AA$3)=YEAR(TODAY()),$G$3&lt;&gt;"",OR(MONTH($A$2)=2,MONTH($A$2)=5,MONTH($A$2)=8,MONTH($A$2)=11))</formula>
    </cfRule>
  </conditionalFormatting>
  <conditionalFormatting sqref="P7">
    <cfRule type="expression" priority="40" dxfId="17" stopIfTrue="1">
      <formula>AND((WEEKDAY(DATE(YEAR($A$2),MONTH($A$2),DAY($A$2)))=7),YEAR($AA$3)=YEAR(TODAY()),$G$3&lt;&gt;"",OR(MONTH($A$2)=2,MONTH($A$2)=5,MONTH($A$2)=8,MONTH($A$2)=11))</formula>
    </cfRule>
  </conditionalFormatting>
  <conditionalFormatting sqref="S7">
    <cfRule type="expression" priority="41" dxfId="35" stopIfTrue="1">
      <formula>AND((WEEKDAY(DATE(YEAR($A$2),MONTH($A$2),DAY($A$2)))=2),YEAR($AA$3)=YEAR(TODAY()),$G$3&lt;&gt;"",OR(MONTH($A$2)=3,MONTH($A$2)=6,MONTH($A$2)=9,MONTH($A$2)=12))</formula>
    </cfRule>
  </conditionalFormatting>
  <conditionalFormatting sqref="T7">
    <cfRule type="expression" priority="42" dxfId="29" stopIfTrue="1">
      <formula>AND((WEEKDAY(DATE(YEAR($A$2),MONTH($A$2),DAY($A$2)))=3),YEAR($AA$3)=YEAR(TODAY()),$G$3&lt;&gt;"",OR(MONTH($A$2)=3,MONTH($A$2)=6,MONTH($A$2)=9,MONTH($A$2)=12))</formula>
    </cfRule>
  </conditionalFormatting>
  <conditionalFormatting sqref="U7">
    <cfRule type="expression" priority="43" dxfId="26" stopIfTrue="1">
      <formula>AND((WEEKDAY(DATE(YEAR($A$2),MONTH($A$2),DAY($A$2)))=4),YEAR($AA$3)=YEAR(TODAY()),$G$3&lt;&gt;"",OR(MONTH($A$2)=3,MONTH($A$2)=6,MONTH($A$2)=9,MONTH($A$2)=12))</formula>
    </cfRule>
  </conditionalFormatting>
  <conditionalFormatting sqref="V7">
    <cfRule type="expression" priority="44" dxfId="23" stopIfTrue="1">
      <formula>AND((WEEKDAY(DATE(YEAR($A$2),MONTH($A$2),DAY($A$2)))=5),YEAR($AA$3)=YEAR(TODAY()),$G$3&lt;&gt;"",OR(MONTH($A$2)=3,MONTH($A$2)=6,MONTH($A$2)=9,MONTH($A$2)=12))</formula>
    </cfRule>
  </conditionalFormatting>
  <conditionalFormatting sqref="W7">
    <cfRule type="expression" priority="45" dxfId="20" stopIfTrue="1">
      <formula>AND((WEEKDAY(DATE(YEAR($A$2),MONTH($A$2),DAY($A$2)))=6),YEAR($AA$3)=YEAR(TODAY()),$G$3&lt;&gt;"",OR(MONTH($A$2)=3,MONTH($A$2)=6,MONTH($A$2)=9,MONTH($A$2)=12))</formula>
    </cfRule>
  </conditionalFormatting>
  <conditionalFormatting sqref="X7">
    <cfRule type="expression" priority="46" dxfId="17" stopIfTrue="1">
      <formula>AND((WEEKDAY(DATE(YEAR($A$2),MONTH($A$2),DAY($A$2)))=7),YEAR($AA$3)=YEAR(TODAY()),$G$3&lt;&gt;"",OR(MONTH($A$2)=3,MONTH($A$2)=6,MONTH($A$2)=9,MONTH($A$2)=12))</formula>
    </cfRule>
  </conditionalFormatting>
  <conditionalFormatting sqref="C16">
    <cfRule type="expression" priority="47" dxfId="35" stopIfTrue="1">
      <formula>AND((WEEKDAY(DATE(YEAR($A$2),MONTH($A$2),DAY($A$2)))=2),YEAR($AA$3)=YEAR(TODAY()),$G$3&lt;&gt;"",MONTH($A$2)=4)</formula>
    </cfRule>
  </conditionalFormatting>
  <conditionalFormatting sqref="D16">
    <cfRule type="expression" priority="48" dxfId="29" stopIfTrue="1">
      <formula>AND((WEEKDAY(DATE(YEAR($A$2),MONTH($A$2),DAY($A$2)))=3),YEAR($AA$3)=YEAR(TODAY()),$G$3&lt;&gt;"",MONTH($A$2)=4)</formula>
    </cfRule>
  </conditionalFormatting>
  <conditionalFormatting sqref="E16">
    <cfRule type="expression" priority="49" dxfId="26" stopIfTrue="1">
      <formula>AND((WEEKDAY(DATE(YEAR($A$2),MONTH($A$2),DAY($A$2)))=4),YEAR($AA$3)=YEAR(TODAY()),$G$3&lt;&gt;"",MONTH($A$2)=4)</formula>
    </cfRule>
  </conditionalFormatting>
  <conditionalFormatting sqref="F16">
    <cfRule type="expression" priority="50" dxfId="23" stopIfTrue="1">
      <formula>AND((WEEKDAY(DATE(YEAR($A$2),MONTH($A$2),DAY($A$2)))=5),YEAR($AA$3)=YEAR(TODAY()),$G$3&lt;&gt;"",MONTH($A$2)=4)</formula>
    </cfRule>
  </conditionalFormatting>
  <conditionalFormatting sqref="G16">
    <cfRule type="expression" priority="51" dxfId="20" stopIfTrue="1">
      <formula>AND((WEEKDAY(DATE(YEAR($A$2),MONTH($A$2),DAY($A$2)))=6),YEAR($AA$3)=YEAR(TODAY()),$G$3&lt;&gt;"",MONTH($A$2)=4)</formula>
    </cfRule>
  </conditionalFormatting>
  <conditionalFormatting sqref="H16">
    <cfRule type="expression" priority="52" dxfId="17" stopIfTrue="1">
      <formula>AND((WEEKDAY(DATE(YEAR($A$2),MONTH($A$2),DAY($A$2)))=7),YEAR($AA$3)=YEAR(TODAY()),$G$3&lt;&gt;"",MONTH($A$2)=4)</formula>
    </cfRule>
  </conditionalFormatting>
  <conditionalFormatting sqref="K16">
    <cfRule type="expression" priority="53" dxfId="35" stopIfTrue="1">
      <formula>AND((WEEKDAY(DATE(YEAR($A$2),MONTH($A$2),DAY($A$2)))=2),YEAR($AA$3)=YEAR(TODAY()),$G$3&lt;&gt;"",MONTH($A$2)=5)</formula>
    </cfRule>
  </conditionalFormatting>
  <conditionalFormatting sqref="L16">
    <cfRule type="expression" priority="54" dxfId="29" stopIfTrue="1">
      <formula>AND((WEEKDAY(DATE(YEAR($A$2),MONTH($A$2),DAY($A$2)))=3),YEAR($AA$3)=YEAR(TODAY()),$G$3&lt;&gt;"",MONTH($A$2)=5)</formula>
    </cfRule>
  </conditionalFormatting>
  <conditionalFormatting sqref="M16">
    <cfRule type="expression" priority="55" dxfId="26" stopIfTrue="1">
      <formula>AND((WEEKDAY(DATE(YEAR($A$2),MONTH($A$2),DAY($A$2)))=4),YEAR($AA$3)=YEAR(TODAY()),$G$3&lt;&gt;"",MONTH($A$2)=5)</formula>
    </cfRule>
  </conditionalFormatting>
  <conditionalFormatting sqref="N16">
    <cfRule type="expression" priority="56" dxfId="23" stopIfTrue="1">
      <formula>AND((WEEKDAY(DATE(YEAR($A$2),MONTH($A$2),DAY($A$2)))=5),YEAR($AA$3)=YEAR(TODAY()),$G$3&lt;&gt;"",MONTH($A$2)=5)</formula>
    </cfRule>
  </conditionalFormatting>
  <conditionalFormatting sqref="O16">
    <cfRule type="expression" priority="57" dxfId="20" stopIfTrue="1">
      <formula>AND((WEEKDAY(DATE(YEAR($A$2),MONTH($A$2),DAY($A$2)))=6),YEAR($AA$3)=YEAR(TODAY()),$G$3&lt;&gt;"",MONTH($A$2)=5)</formula>
    </cfRule>
  </conditionalFormatting>
  <conditionalFormatting sqref="P16">
    <cfRule type="expression" priority="58" dxfId="17" stopIfTrue="1">
      <formula>AND((WEEKDAY(DATE(YEAR($A$2),MONTH($A$2),DAY($A$2)))=7),YEAR($AA$3)=YEAR(TODAY()),$G$3&lt;&gt;"",MONTH($A$2)=5)</formula>
    </cfRule>
  </conditionalFormatting>
  <conditionalFormatting sqref="S16">
    <cfRule type="expression" priority="59" dxfId="35" stopIfTrue="1">
      <formula>AND((WEEKDAY(DATE(YEAR($A$2),MONTH($A$2),DAY($A$2)))=2),YEAR($AA$3)=YEAR(TODAY()),$G$3&lt;&gt;"",MONTH($A$2)=6)</formula>
    </cfRule>
  </conditionalFormatting>
  <conditionalFormatting sqref="T16">
    <cfRule type="expression" priority="60" dxfId="29" stopIfTrue="1">
      <formula>AND((WEEKDAY(DATE(YEAR($A$2),MONTH($A$2),DAY($A$2)))=3),YEAR($AA$3)=YEAR(TODAY()),$G$3&lt;&gt;"",MONTH($A$2)=6)</formula>
    </cfRule>
  </conditionalFormatting>
  <conditionalFormatting sqref="U16">
    <cfRule type="expression" priority="61" dxfId="26" stopIfTrue="1">
      <formula>AND((WEEKDAY(DATE(YEAR($A$2),MONTH($A$2),DAY($A$2)))=4),YEAR($AA$3)=YEAR(TODAY()),$G$3&lt;&gt;"",MONTH($A$2)=6)</formula>
    </cfRule>
  </conditionalFormatting>
  <conditionalFormatting sqref="V16">
    <cfRule type="expression" priority="62" dxfId="23" stopIfTrue="1">
      <formula>AND((WEEKDAY(DATE(YEAR($A$2),MONTH($A$2),DAY($A$2)))=5),YEAR($AA$3)=YEAR(TODAY()),$G$3&lt;&gt;"",MONTH($A$2)=6)</formula>
    </cfRule>
  </conditionalFormatting>
  <conditionalFormatting sqref="W16">
    <cfRule type="expression" priority="63" dxfId="20" stopIfTrue="1">
      <formula>AND((WEEKDAY(DATE(YEAR($A$2),MONTH($A$2),DAY($A$2)))=6),YEAR($AA$3)=YEAR(TODAY()),$G$3&lt;&gt;"",MONTH($A$2)=6)</formula>
    </cfRule>
  </conditionalFormatting>
  <conditionalFormatting sqref="X16">
    <cfRule type="expression" priority="64" dxfId="17" stopIfTrue="1">
      <formula>AND((WEEKDAY(DATE(YEAR($A$2),MONTH($A$2),DAY($A$2)))=7),YEAR($AA$3)=YEAR(TODAY()),$G$3&lt;&gt;"",MONTH($A$2)=6)</formula>
    </cfRule>
  </conditionalFormatting>
  <conditionalFormatting sqref="C25">
    <cfRule type="expression" priority="65" dxfId="35" stopIfTrue="1">
      <formula>AND((WEEKDAY(DATE(YEAR($A$2),MONTH($A$2),DAY($A$2)))=2),YEAR($AA$3)=YEAR(TODAY()),$G$3&lt;&gt;"",MONTH($A$2)=7)</formula>
    </cfRule>
  </conditionalFormatting>
  <conditionalFormatting sqref="D25">
    <cfRule type="expression" priority="66" dxfId="29" stopIfTrue="1">
      <formula>AND((WEEKDAY(DATE(YEAR($A$2),MONTH($A$2),DAY($A$2)))=3),YEAR($AA$3)=YEAR(TODAY()),$G$3&lt;&gt;"",MONTH($A$2)=7)</formula>
    </cfRule>
  </conditionalFormatting>
  <conditionalFormatting sqref="E25">
    <cfRule type="expression" priority="67" dxfId="26" stopIfTrue="1">
      <formula>AND((WEEKDAY(DATE(YEAR($A$2),MONTH($A$2),DAY($A$2)))=4),YEAR($AA$3)=YEAR(TODAY()),$G$3&lt;&gt;"",MONTH($A$2)=7)</formula>
    </cfRule>
  </conditionalFormatting>
  <conditionalFormatting sqref="F25">
    <cfRule type="expression" priority="68" dxfId="23" stopIfTrue="1">
      <formula>AND((WEEKDAY(DATE(YEAR($A$2),MONTH($A$2),DAY($A$2)))=5),YEAR($AA$3)=YEAR(TODAY()),$G$3&lt;&gt;"",MONTH($A$2)=7)</formula>
    </cfRule>
  </conditionalFormatting>
  <conditionalFormatting sqref="G25">
    <cfRule type="expression" priority="69" dxfId="20" stopIfTrue="1">
      <formula>AND((WEEKDAY(DATE(YEAR($A$2),MONTH($A$2),DAY($A$2)))=6),YEAR($AA$3)=YEAR(TODAY()),$G$3&lt;&gt;"",MONTH($A$2)=7)</formula>
    </cfRule>
  </conditionalFormatting>
  <conditionalFormatting sqref="H25">
    <cfRule type="expression" priority="70" dxfId="17" stopIfTrue="1">
      <formula>AND((WEEKDAY(DATE(YEAR($A$2),MONTH($A$2),DAY($A$2)))=7),YEAR($AA$3)=YEAR(TODAY()),$G$3&lt;&gt;"",MONTH($A$2)=7)</formula>
    </cfRule>
  </conditionalFormatting>
  <conditionalFormatting sqref="K25">
    <cfRule type="expression" priority="71" dxfId="35" stopIfTrue="1">
      <formula>AND((WEEKDAY(DATE(YEAR($A$2),MONTH($A$2),DAY($A$2)))=2),YEAR($AA$3)=YEAR(TODAY()),$G$3&lt;&gt;"",MONTH($A$2)=8)</formula>
    </cfRule>
  </conditionalFormatting>
  <conditionalFormatting sqref="L25">
    <cfRule type="expression" priority="72" dxfId="29" stopIfTrue="1">
      <formula>AND((WEEKDAY(DATE(YEAR($A$2),MONTH($A$2),DAY($A$2)))=3),YEAR($AA$3)=YEAR(TODAY()),$G$3&lt;&gt;"",MONTH($A$2)=8)</formula>
    </cfRule>
  </conditionalFormatting>
  <conditionalFormatting sqref="M25">
    <cfRule type="expression" priority="73" dxfId="26" stopIfTrue="1">
      <formula>AND((WEEKDAY(DATE(YEAR($A$2),MONTH($A$2),DAY($A$2)))=4),YEAR($AA$3)=YEAR(TODAY()),$G$3&lt;&gt;"",MONTH($A$2)=8)</formula>
    </cfRule>
  </conditionalFormatting>
  <conditionalFormatting sqref="N25">
    <cfRule type="expression" priority="74" dxfId="23" stopIfTrue="1">
      <formula>AND((WEEKDAY(DATE(YEAR($A$2),MONTH($A$2),DAY($A$2)))=5),YEAR($AA$3)=YEAR(TODAY()),$G$3&lt;&gt;"",MONTH($A$2)=8)</formula>
    </cfRule>
  </conditionalFormatting>
  <conditionalFormatting sqref="O25">
    <cfRule type="expression" priority="75" dxfId="20" stopIfTrue="1">
      <formula>AND((WEEKDAY(DATE(YEAR($A$2),MONTH($A$2),DAY($A$2)))=6),YEAR($AA$3)=YEAR(TODAY()),$G$3&lt;&gt;"",MONTH($A$2)=8)</formula>
    </cfRule>
  </conditionalFormatting>
  <conditionalFormatting sqref="P25">
    <cfRule type="expression" priority="76" dxfId="17" stopIfTrue="1">
      <formula>AND((WEEKDAY(DATE(YEAR($A$2),MONTH($A$2),DAY($A$2)))=7),YEAR($AA$3)=YEAR(TODAY()),$G$3&lt;&gt;"",MONTH($A$2)=8)</formula>
    </cfRule>
  </conditionalFormatting>
  <conditionalFormatting sqref="S25">
    <cfRule type="expression" priority="77" dxfId="35" stopIfTrue="1">
      <formula>AND((WEEKDAY(DATE(YEAR($A$2),MONTH($A$2),DAY($A$2)))=2),YEAR($AA$3)=YEAR(TODAY()),$G$3&lt;&gt;"",MONTH($A$2)=9)</formula>
    </cfRule>
  </conditionalFormatting>
  <conditionalFormatting sqref="T25">
    <cfRule type="expression" priority="78" dxfId="29" stopIfTrue="1">
      <formula>AND((WEEKDAY(DATE(YEAR($A$2),MONTH($A$2),DAY($A$2)))=3),YEAR($AA$3)=YEAR(TODAY()),$G$3&lt;&gt;"",MONTH($A$2)=9)</formula>
    </cfRule>
  </conditionalFormatting>
  <conditionalFormatting sqref="U25">
    <cfRule type="expression" priority="79" dxfId="26" stopIfTrue="1">
      <formula>AND((WEEKDAY(DATE(YEAR($A$2),MONTH($A$2),DAY($A$2)))=4),YEAR($AA$3)=YEAR(TODAY()),$G$3&lt;&gt;"",MONTH($A$2)=9)</formula>
    </cfRule>
  </conditionalFormatting>
  <conditionalFormatting sqref="V25">
    <cfRule type="expression" priority="80" dxfId="23" stopIfTrue="1">
      <formula>AND((WEEKDAY(DATE(YEAR($A$2),MONTH($A$2),DAY($A$2)))=5),YEAR($AA$3)=YEAR(TODAY()),$G$3&lt;&gt;"",MONTH($A$2)=9)</formula>
    </cfRule>
  </conditionalFormatting>
  <conditionalFormatting sqref="W25">
    <cfRule type="expression" priority="81" dxfId="20" stopIfTrue="1">
      <formula>AND((WEEKDAY(DATE(YEAR($A$2),MONTH($A$2),DAY($A$2)))=6),YEAR($AA$3)=YEAR(TODAY()),$G$3&lt;&gt;"",MONTH($A$2)=9)</formula>
    </cfRule>
  </conditionalFormatting>
  <conditionalFormatting sqref="X25">
    <cfRule type="expression" priority="82" dxfId="17" stopIfTrue="1">
      <formula>AND((WEEKDAY(DATE(YEAR($A$2),MONTH($A$2),DAY($A$2)))=7),YEAR($AA$3)=YEAR(TODAY()),$G$3&lt;&gt;"",MONTH($A$2)=9)</formula>
    </cfRule>
  </conditionalFormatting>
  <conditionalFormatting sqref="C34">
    <cfRule type="expression" priority="83" dxfId="35" stopIfTrue="1">
      <formula>AND((WEEKDAY(DATE(YEAR($A$2),MONTH($A$2),DAY($A$2)))=2),YEAR($AA$3)=YEAR(TODAY()),$G$3&lt;&gt;"",MONTH($A$2)=10)</formula>
    </cfRule>
  </conditionalFormatting>
  <conditionalFormatting sqref="D34">
    <cfRule type="expression" priority="84" dxfId="29" stopIfTrue="1">
      <formula>AND((WEEKDAY(DATE(YEAR($A$2),MONTH($A$2),DAY($A$2)))=3),YEAR($AA$3)=YEAR(TODAY()),$G$3&lt;&gt;"",MONTH($A$2)=10)</formula>
    </cfRule>
  </conditionalFormatting>
  <conditionalFormatting sqref="E34">
    <cfRule type="expression" priority="85" dxfId="26" stopIfTrue="1">
      <formula>AND((WEEKDAY(DATE(YEAR($A$2),MONTH($A$2),DAY($A$2)))=4),YEAR($AA$3)=YEAR(TODAY()),$G$3&lt;&gt;"",MONTH($A$2)=10)</formula>
    </cfRule>
  </conditionalFormatting>
  <conditionalFormatting sqref="F34">
    <cfRule type="expression" priority="86" dxfId="23" stopIfTrue="1">
      <formula>AND((WEEKDAY(DATE(YEAR($A$2),MONTH($A$2),DAY($A$2)))=5),YEAR($AA$3)=YEAR(TODAY()),$G$3&lt;&gt;"",MONTH($A$2)=10)</formula>
    </cfRule>
  </conditionalFormatting>
  <conditionalFormatting sqref="G34">
    <cfRule type="expression" priority="87" dxfId="20" stopIfTrue="1">
      <formula>AND((WEEKDAY(DATE(YEAR($A$2),MONTH($A$2),DAY($A$2)))=6),YEAR($AA$3)=YEAR(TODAY()),$G$3&lt;&gt;"",MONTH($A$2)=10)</formula>
    </cfRule>
  </conditionalFormatting>
  <conditionalFormatting sqref="H34">
    <cfRule type="expression" priority="88" dxfId="17" stopIfTrue="1">
      <formula>AND((WEEKDAY(DATE(YEAR($A$2),MONTH($A$2),DAY($A$2)))=7),YEAR($AA$3)=YEAR(TODAY()),$G$3&lt;&gt;"",MONTH($A$2)=10)</formula>
    </cfRule>
  </conditionalFormatting>
  <conditionalFormatting sqref="K34">
    <cfRule type="expression" priority="89" dxfId="35" stopIfTrue="1">
      <formula>AND((WEEKDAY(DATE(YEAR($A$2),MONTH($A$2),DAY($A$2)))=2),YEAR($AA$3)=YEAR(TODAY()),$G$3&lt;&gt;"",MONTH($A$2)=11)</formula>
    </cfRule>
  </conditionalFormatting>
  <conditionalFormatting sqref="L34">
    <cfRule type="expression" priority="90" dxfId="29" stopIfTrue="1">
      <formula>AND((WEEKDAY(DATE(YEAR($A$2),MONTH($A$2),DAY($A$2)))=3),YEAR($AA$3)=YEAR(TODAY()),$G$3&lt;&gt;"",MONTH($A$2)=11)</formula>
    </cfRule>
  </conditionalFormatting>
  <conditionalFormatting sqref="M34">
    <cfRule type="expression" priority="91" dxfId="26" stopIfTrue="1">
      <formula>AND((WEEKDAY(DATE(YEAR($A$2),MONTH($A$2),DAY($A$2)))=4),YEAR($AA$3)=YEAR(TODAY()),$G$3&lt;&gt;"",MONTH($A$2)=11)</formula>
    </cfRule>
  </conditionalFormatting>
  <conditionalFormatting sqref="N34">
    <cfRule type="expression" priority="92" dxfId="23" stopIfTrue="1">
      <formula>AND((WEEKDAY(DATE(YEAR($A$2),MONTH($A$2),DAY($A$2)))=5),YEAR($AA$3)=YEAR(TODAY()),$G$3&lt;&gt;"",MONTH($A$2)=11)</formula>
    </cfRule>
  </conditionalFormatting>
  <conditionalFormatting sqref="O34">
    <cfRule type="expression" priority="93" dxfId="20" stopIfTrue="1">
      <formula>AND((WEEKDAY(DATE(YEAR($A$2),MONTH($A$2),DAY($A$2)))=6),YEAR($AA$3)=YEAR(TODAY()),$G$3&lt;&gt;"",MONTH($A$2)=11)</formula>
    </cfRule>
  </conditionalFormatting>
  <conditionalFormatting sqref="P34">
    <cfRule type="expression" priority="94" dxfId="17" stopIfTrue="1">
      <formula>AND((WEEKDAY(DATE(YEAR($A$2),MONTH($A$2),DAY($A$2)))=7),YEAR($AA$3)=YEAR(TODAY()),$G$3&lt;&gt;"",MONTH($A$2)=11)</formula>
    </cfRule>
  </conditionalFormatting>
  <conditionalFormatting sqref="S34">
    <cfRule type="expression" priority="95" dxfId="35" stopIfTrue="1">
      <formula>AND((WEEKDAY(DATE(YEAR($A$2),MONTH($A$2),DAY($A$2)))=2),YEAR($AA$3)=YEAR(TODAY()),$G$3&lt;&gt;"",MONTH($A$2)=12)</formula>
    </cfRule>
  </conditionalFormatting>
  <conditionalFormatting sqref="T34">
    <cfRule type="expression" priority="96" dxfId="29" stopIfTrue="1">
      <formula>AND((WEEKDAY(DATE(YEAR($A$2),MONTH($A$2),DAY($A$2)))=3),YEAR($AA$3)=YEAR(TODAY()),$G$3&lt;&gt;"",MONTH($A$2)=12)</formula>
    </cfRule>
  </conditionalFormatting>
  <conditionalFormatting sqref="U34">
    <cfRule type="expression" priority="97" dxfId="26" stopIfTrue="1">
      <formula>AND((WEEKDAY(DATE(YEAR($A$2),MONTH($A$2),DAY($A$2)))=4),YEAR($AA$3)=YEAR(TODAY()),$G$3&lt;&gt;"",MONTH($A$2)=12)</formula>
    </cfRule>
  </conditionalFormatting>
  <conditionalFormatting sqref="V34">
    <cfRule type="expression" priority="98" dxfId="23" stopIfTrue="1">
      <formula>AND((WEEKDAY(DATE(YEAR($A$2),MONTH($A$2),DAY($A$2)))=5),YEAR($AA$3)=YEAR(TODAY()),$G$3&lt;&gt;"",MONTH($A$2)=12)</formula>
    </cfRule>
  </conditionalFormatting>
  <conditionalFormatting sqref="W34">
    <cfRule type="expression" priority="99" dxfId="20" stopIfTrue="1">
      <formula>AND((WEEKDAY(DATE(YEAR($A$2),MONTH($A$2),DAY($A$2)))=6),YEAR($AA$3)=YEAR(TODAY()),$G$3&lt;&gt;"",MONTH($A$2)=12)</formula>
    </cfRule>
  </conditionalFormatting>
  <conditionalFormatting sqref="X34">
    <cfRule type="expression" priority="100" dxfId="17" stopIfTrue="1">
      <formula>AND((WEEKDAY(DATE(YEAR($A$2),MONTH($A$2),DAY($A$2)))=7),YEAR($AA$3)=YEAR(TODAY()),$G$3&lt;&gt;"",MONTH($A$2)=12)</formula>
    </cfRule>
  </conditionalFormatting>
  <conditionalFormatting sqref="F46:F61">
    <cfRule type="expression" priority="101" dxfId="326" stopIfTrue="1">
      <formula>($B46&lt;TODAY())</formula>
    </cfRule>
    <cfRule type="expression" priority="102" dxfId="328" stopIfTrue="1">
      <formula>AND(DATEDIF(TODAY(),$B46,"ym")=0,DATEDIF(TODAY(),$B46,"y")=0,NOT(AND(MONTH($B46)=12,DAY($B46)=25)))</formula>
    </cfRule>
    <cfRule type="expression" priority="103" dxfId="329" stopIfTrue="1">
      <formula>AND(DATEDIF(TODAY(),$B46,"ym")=0,DATEDIF(TODAY(),$B46,"y")=0,AND(MONTH($B46)=12,DAY($B46)=25))</formula>
    </cfRule>
  </conditionalFormatting>
  <dataValidations count="1">
    <dataValidation type="whole" allowBlank="1" showInputMessage="1" showErrorMessage="1" promptTitle="Enter the year" prompt="eg. 2002 &#10;Otherwise leave blank for the current month at the top and the following 11 months" errorTitle="The years grandfathers know " error="Enter the year 1900 - 3000" imeMode="off" sqref="G3">
      <formula1>1900</formula1>
      <formula2>3000</formula2>
    </dataValidation>
  </dataValidations>
  <hyperlinks>
    <hyperlink ref="U2:Y2" r:id="rId1" display="http://kenmzoka.tripod.com/"/>
    <hyperlink ref="U1" r:id="rId2" display="Shop online at amazon.co.jp"/>
    <hyperlink ref="X44" r:id="rId3" display="Ken's Home Radio"/>
  </hyperlinks>
  <printOptions horizontalCentered="1" verticalCentered="1"/>
  <pageMargins left="0.1968503937007874" right="0.1968503937007874" top="0.1968503937007874" bottom="0.1968503937007874" header="0" footer="0"/>
  <pageSetup fitToHeight="1" fitToWidth="1" horizontalDpi="300" verticalDpi="300" orientation="portrait" paperSize="9" r:id="rId8"/>
  <drawing r:id="rId7"/>
  <legacyDrawing r:id="rId6"/>
  <oleObjects>
    <oleObject progId="MS_ClipArt_Gallery" shapeId="844649" r:id="rId5"/>
  </oleObjects>
</worksheet>
</file>

<file path=xl/worksheets/sheet3.xml><?xml version="1.0" encoding="utf-8"?>
<worksheet xmlns="http://schemas.openxmlformats.org/spreadsheetml/2006/main" xmlns:r="http://schemas.openxmlformats.org/officeDocument/2006/relationships">
  <dimension ref="A1:AC128"/>
  <sheetViews>
    <sheetView zoomScale="75" zoomScaleNormal="75" zoomScalePageLayoutView="0" workbookViewId="0" topLeftCell="A1">
      <pane ySplit="7" topLeftCell="A8" activePane="bottomLeft" state="frozen"/>
      <selection pane="topLeft" activeCell="A2" sqref="A2"/>
      <selection pane="bottomLeft" activeCell="AC11" sqref="AC11"/>
    </sheetView>
  </sheetViews>
  <sheetFormatPr defaultColWidth="9.00390625" defaultRowHeight="13.5"/>
  <cols>
    <col min="1" max="1" width="2.00390625" style="0" customWidth="1"/>
    <col min="2" max="8" width="6.50390625" style="0" customWidth="1"/>
    <col min="9" max="9" width="3.625" style="0" customWidth="1"/>
    <col min="10" max="16" width="6.50390625" style="0" customWidth="1"/>
    <col min="17" max="17" width="3.625" style="0" customWidth="1"/>
    <col min="18" max="24" width="6.50390625" style="0" customWidth="1"/>
    <col min="25" max="25" width="3.625" style="0" customWidth="1"/>
  </cols>
  <sheetData>
    <row r="1" spans="1:27" ht="5.25" customHeight="1">
      <c r="A1" s="44"/>
      <c r="D1" s="83"/>
      <c r="E1" s="83"/>
      <c r="F1" s="44"/>
      <c r="G1" s="44"/>
      <c r="H1" s="44"/>
      <c r="I1" s="44"/>
      <c r="J1" s="44"/>
      <c r="K1" s="44"/>
      <c r="L1" s="44"/>
      <c r="M1" s="44"/>
      <c r="N1" s="44"/>
      <c r="O1" s="44"/>
      <c r="P1" s="44"/>
      <c r="Q1" s="44"/>
      <c r="R1" s="44"/>
      <c r="S1" s="44"/>
      <c r="T1" s="44"/>
      <c r="U1" s="44"/>
      <c r="V1" s="44"/>
      <c r="W1" s="44"/>
      <c r="X1" s="44"/>
      <c r="Y1" s="44"/>
      <c r="Z1" s="44"/>
      <c r="AA1" s="44"/>
    </row>
    <row r="2" spans="1:19" ht="18" customHeight="1">
      <c r="A2" s="2">
        <f ca="1">NOW()</f>
        <v>45343.688428125</v>
      </c>
      <c r="B2" s="219" t="s">
        <v>94</v>
      </c>
      <c r="C2" s="219"/>
      <c r="D2" s="219"/>
      <c r="E2" s="219"/>
      <c r="F2" s="219"/>
      <c r="G2" s="219"/>
      <c r="H2" s="44"/>
      <c r="I2" s="44"/>
      <c r="K2" s="44"/>
      <c r="L2" s="44"/>
      <c r="M2" s="1" t="str">
        <f>CONCATENATE(T3," "," ",G3," SCHEDULE")</f>
        <v>JAPANESE HOLIDAY   SCHEDULE</v>
      </c>
      <c r="N2" s="44"/>
      <c r="O2" s="44"/>
      <c r="P2" s="44"/>
      <c r="Q2" s="44"/>
      <c r="R2" s="44"/>
      <c r="S2" s="44"/>
    </row>
    <row r="3" spans="1:29" ht="8.25" customHeight="1">
      <c r="A3" s="44"/>
      <c r="F3" s="44"/>
      <c r="G3" s="45"/>
      <c r="H3" s="44"/>
      <c r="I3" s="44"/>
      <c r="J3" s="44"/>
      <c r="K3" s="44"/>
      <c r="L3" s="44"/>
      <c r="M3" s="44"/>
      <c r="N3" s="44"/>
      <c r="O3" s="44"/>
      <c r="P3" s="44"/>
      <c r="Q3" s="44"/>
      <c r="R3" s="44"/>
      <c r="S3" s="44"/>
      <c r="T3" s="217" t="s">
        <v>84</v>
      </c>
      <c r="U3" s="218"/>
      <c r="V3" s="218"/>
      <c r="W3" s="218"/>
      <c r="X3" s="218"/>
      <c r="Y3" s="44"/>
      <c r="Z3" s="44"/>
      <c r="AA3" s="170">
        <f>IF(G3="","",DATE(G3,1,1))</f>
      </c>
      <c r="AB3" s="170"/>
      <c r="AC3" s="170"/>
    </row>
    <row r="4" spans="1:27" ht="5.25" customHeight="1">
      <c r="A4" s="44"/>
      <c r="F4" s="44"/>
      <c r="G4" s="44"/>
      <c r="H4" s="44"/>
      <c r="I4" s="44"/>
      <c r="J4" s="44"/>
      <c r="K4" s="44"/>
      <c r="L4" s="44"/>
      <c r="M4" s="44"/>
      <c r="N4" s="44"/>
      <c r="O4" s="44"/>
      <c r="P4" s="44"/>
      <c r="Q4" s="44"/>
      <c r="R4" s="44"/>
      <c r="S4" s="44"/>
      <c r="T4" s="218"/>
      <c r="U4" s="218"/>
      <c r="V4" s="218"/>
      <c r="W4" s="218"/>
      <c r="X4" s="218"/>
      <c r="Y4" s="44"/>
      <c r="Z4" s="44"/>
      <c r="AA4" s="44"/>
    </row>
    <row r="5" spans="1:27" ht="13.5" customHeight="1">
      <c r="A5" s="46"/>
      <c r="B5" s="214">
        <f ca="1">IF(G3="",TODAY(),DATE(G3,1,1))</f>
        <v>45343</v>
      </c>
      <c r="C5" s="214"/>
      <c r="D5" s="214"/>
      <c r="E5" s="46"/>
      <c r="I5" s="90">
        <f>DATE(YEAR(B5),MONTH(B5),1)</f>
        <v>45323</v>
      </c>
      <c r="J5" s="213">
        <f>IF(MONTH(B5)=12,TEXT(DATE(YEAR(B5)+1,1,1),"mmmm yyyy"),DATE(YEAR(B5),MONTH(B5)+1,1))</f>
        <v>45352</v>
      </c>
      <c r="K5" s="213"/>
      <c r="L5" s="213"/>
      <c r="M5" s="46"/>
      <c r="Q5" s="90">
        <f>DATE(YEAR(B5),MONTH(B5)+1,1)</f>
        <v>45352</v>
      </c>
      <c r="R5" s="213">
        <f>IF(MONTH(J5)=12,TEXT(DATE(YEAR(J5)+1,1,1),"mmmm yyyy"),DATE(YEAR(J5),MONTH(J5)+1,1))</f>
        <v>45383</v>
      </c>
      <c r="S5" s="213"/>
      <c r="T5" s="213"/>
      <c r="U5" s="46"/>
      <c r="Y5" s="90">
        <f>DATE(YEAR(Q5),MONTH(Q5)+1,1)</f>
        <v>45383</v>
      </c>
      <c r="Z5" s="46"/>
      <c r="AA5" s="46"/>
    </row>
    <row r="6" spans="1:27" ht="6" customHeight="1">
      <c r="A6" s="47"/>
      <c r="B6" s="48"/>
      <c r="C6" s="46"/>
      <c r="D6" s="46"/>
      <c r="E6" s="46"/>
      <c r="F6" s="46"/>
      <c r="G6" s="46"/>
      <c r="H6" s="46"/>
      <c r="I6" s="46"/>
      <c r="J6" s="48"/>
      <c r="K6" s="46"/>
      <c r="L6" s="46"/>
      <c r="M6" s="46"/>
      <c r="N6" s="46"/>
      <c r="O6" s="46"/>
      <c r="P6" s="46"/>
      <c r="Q6" s="46"/>
      <c r="R6" s="48"/>
      <c r="S6" s="46"/>
      <c r="T6" s="46"/>
      <c r="U6" s="46"/>
      <c r="V6" s="46"/>
      <c r="W6" s="46"/>
      <c r="X6" s="46"/>
      <c r="Y6" s="46"/>
      <c r="Z6" s="46"/>
      <c r="AA6" s="46"/>
    </row>
    <row r="7" spans="1:27" ht="13.5" customHeight="1">
      <c r="A7" s="47"/>
      <c r="B7" s="49" t="s">
        <v>41</v>
      </c>
      <c r="C7" s="50" t="s">
        <v>42</v>
      </c>
      <c r="D7" s="50" t="s">
        <v>43</v>
      </c>
      <c r="E7" s="50" t="s">
        <v>44</v>
      </c>
      <c r="F7" s="50" t="s">
        <v>45</v>
      </c>
      <c r="G7" s="50" t="s">
        <v>46</v>
      </c>
      <c r="H7" s="49" t="s">
        <v>47</v>
      </c>
      <c r="I7" s="51"/>
      <c r="J7" s="49" t="s">
        <v>61</v>
      </c>
      <c r="K7" s="50" t="s">
        <v>62</v>
      </c>
      <c r="L7" s="50" t="s">
        <v>63</v>
      </c>
      <c r="M7" s="50" t="s">
        <v>64</v>
      </c>
      <c r="N7" s="50" t="s">
        <v>65</v>
      </c>
      <c r="O7" s="50" t="s">
        <v>66</v>
      </c>
      <c r="P7" s="49" t="s">
        <v>67</v>
      </c>
      <c r="Q7" s="51"/>
      <c r="R7" s="49" t="s">
        <v>61</v>
      </c>
      <c r="S7" s="50" t="s">
        <v>62</v>
      </c>
      <c r="T7" s="50" t="s">
        <v>63</v>
      </c>
      <c r="U7" s="50" t="s">
        <v>64</v>
      </c>
      <c r="V7" s="50" t="s">
        <v>65</v>
      </c>
      <c r="W7" s="50" t="s">
        <v>66</v>
      </c>
      <c r="X7" s="49" t="s">
        <v>67</v>
      </c>
      <c r="Y7" s="51"/>
      <c r="Z7" s="51"/>
      <c r="AA7" s="51"/>
    </row>
    <row r="8" spans="1:27" ht="13.5" customHeight="1">
      <c r="A8" s="52"/>
      <c r="B8" s="53">
        <f>IF(WEEKDAY(DATE(YEAR(B5),MONTH(B5),DAY(1)),1)=1,DATE(YEAR(B5),MONTH(B5),DAY(1)),"")</f>
      </c>
      <c r="C8" s="53">
        <f>IF(WEEKDAY(DATE(YEAR(B5),MONTH(B5),DAY(1)),1)=2,DATE(YEAR(B5),MONTH(B5),DAY(1)),IF(NOT(B8=""),B8+1,""))</f>
      </c>
      <c r="D8" s="53">
        <f>IF(WEEKDAY(DATE(YEAR(B5),MONTH(B5),DAY(1)),1)=3,DATE(YEAR(B5),MONTH(B5),DAY(1)),IF(NOT(C8=""),C8+1,""))</f>
      </c>
      <c r="E8" s="53">
        <f>IF(WEEKDAY(DATE(YEAR(B5),MONTH(B5),DAY(1)),1)=4,DATE(YEAR(B5),MONTH(B5),DAY(1)),IF(NOT(D8=""),D8+1,""))</f>
      </c>
      <c r="F8" s="53">
        <f>IF(WEEKDAY(DATE(YEAR(B5),MONTH(B5),DAY(1)),1)=5,DATE(YEAR(B5),MONTH(B5),DAY(1)),IF(NOT(E8=""),E8+1,""))</f>
        <v>45323</v>
      </c>
      <c r="G8" s="53">
        <f>IF(WEEKDAY(DATE(YEAR(B5),MONTH(B5),DAY(1)),1)=6,DATE(YEAR(B5),MONTH(B5),DAY(1)),IF(NOT(F8=""),F8+1,""))</f>
        <v>45324</v>
      </c>
      <c r="H8" s="53">
        <f>IF(WEEKDAY(DATE(YEAR(B5),MONTH(B5),DAY(1)),1)=7,DATE(YEAR(B5),MONTH(B5),DAY(1)),DATE(YEAR(G8),MONTH(G8),DAY(G8+1)))</f>
        <v>45325</v>
      </c>
      <c r="I8" s="54"/>
      <c r="J8" s="53">
        <f>IF(WEEKDAY(DATE(YEAR(J5),MONTH(J5),DAY(1)),1)=1,DATE(YEAR(J5),MONTH(J5),DAY(1)),"")</f>
      </c>
      <c r="K8" s="53">
        <f>IF(WEEKDAY(DATE(YEAR(J5),MONTH(J5),DAY(1)),1)=2,DATE(YEAR(J5),MONTH(J5),DAY(1)),IF(NOT(J8=""),J8+1,""))</f>
      </c>
      <c r="L8" s="53">
        <f>IF(WEEKDAY(DATE(YEAR(J5),MONTH(J5),DAY(1)),1)=3,DATE(YEAR(J5),MONTH(J5),DAY(1)),IF(NOT(K8=""),K8+1,""))</f>
      </c>
      <c r="M8" s="53">
        <f>IF(WEEKDAY(DATE(YEAR(J5),MONTH(J5),DAY(1)),1)=4,DATE(YEAR(J5),MONTH(J5),DAY(1)),IF(NOT(L8=""),L8+1,""))</f>
      </c>
      <c r="N8" s="53">
        <f>IF(WEEKDAY(DATE(YEAR(J5),MONTH(J5),DAY(1)),1)=5,DATE(YEAR(J5),MONTH(J5),DAY(1)),IF(NOT(M8=""),M8+1,""))</f>
      </c>
      <c r="O8" s="53">
        <f>IF(WEEKDAY(DATE(YEAR(J5),MONTH(J5),DAY(1)),1)=6,DATE(YEAR(J5),MONTH(J5),DAY(1)),IF(NOT(N8=""),N8+1,""))</f>
        <v>45352</v>
      </c>
      <c r="P8" s="53">
        <f>IF(WEEKDAY(DATE(YEAR(J5),MONTH(J5),DAY(1)),1)=7,DATE(YEAR(J5),MONTH(J5),DAY(1)),DATE(YEAR(O8),MONTH(O8),DAY(O8+1)))</f>
        <v>45353</v>
      </c>
      <c r="Q8" s="54"/>
      <c r="R8" s="53">
        <f>IF(WEEKDAY(DATE(YEAR(R5),MONTH(R5),DAY(1)),1)=1,DATE(YEAR(R5),MONTH(R5),DAY(1)),"")</f>
      </c>
      <c r="S8" s="53">
        <f>IF(WEEKDAY(DATE(YEAR(R5),MONTH(R5),DAY(1)),1)=2,DATE(YEAR(R5),MONTH(R5),DAY(1)),IF(NOT(R8=""),R8+1,""))</f>
        <v>45383</v>
      </c>
      <c r="T8" s="53">
        <f>IF(WEEKDAY(DATE(YEAR(R5),MONTH(R5),DAY(1)),1)=3,DATE(YEAR(R5),MONTH(R5),DAY(1)),IF(NOT(S8=""),S8+1,""))</f>
        <v>45384</v>
      </c>
      <c r="U8" s="53">
        <f>IF(WEEKDAY(DATE(YEAR(R5),MONTH(R5),DAY(1)),1)=4,DATE(YEAR(R5),MONTH(R5),DAY(1)),IF(NOT(T8=""),T8+1,""))</f>
        <v>45385</v>
      </c>
      <c r="V8" s="53">
        <f>IF(WEEKDAY(DATE(YEAR(R5),MONTH(R5),DAY(1)),1)=5,DATE(YEAR(R5),MONTH(R5),DAY(1)),IF(NOT(U8=""),U8+1,""))</f>
        <v>45386</v>
      </c>
      <c r="W8" s="53">
        <f>IF(WEEKDAY(DATE(YEAR(R5),MONTH(R5),DAY(1)),1)=6,DATE(YEAR(R5),MONTH(R5),DAY(1)),IF(NOT(V8=""),V8+1,""))</f>
        <v>45387</v>
      </c>
      <c r="X8" s="53">
        <f>IF(WEEKDAY(DATE(YEAR(R5),MONTH(R5),DAY(1)),1)=7,DATE(YEAR(R5),MONTH(R5),DAY(1)),DATE(YEAR(W8),MONTH(W8),DAY(W8+1)))</f>
        <v>45388</v>
      </c>
      <c r="Y8" s="55"/>
      <c r="Z8" s="55"/>
      <c r="AA8" s="55"/>
    </row>
    <row r="9" spans="1:27" ht="30" customHeight="1">
      <c r="A9" s="52"/>
      <c r="B9" s="56">
        <f aca="true" t="shared" si="0" ref="B9:G9">IF(B8="","",IF(ISNA(VLOOKUP(B8,$J$70:$L$124,3,FALSE)),"",VLOOKUP(B8,$J$70:$L$124,3,FALSE)))</f>
      </c>
      <c r="C9" s="57">
        <f t="shared" si="0"/>
      </c>
      <c r="D9" s="56">
        <f t="shared" si="0"/>
      </c>
      <c r="E9" s="56">
        <f t="shared" si="0"/>
      </c>
      <c r="F9" s="56">
        <f t="shared" si="0"/>
      </c>
      <c r="G9" s="56">
        <f t="shared" si="0"/>
      </c>
      <c r="H9" s="56">
        <f>IF(ISNA(VLOOKUP(H8,$J$70:$L$124,3,FALSE)),"",VLOOKUP(H8,$J$70:$L$124,3,FALSE))</f>
      </c>
      <c r="I9" s="54"/>
      <c r="J9" s="56">
        <f aca="true" t="shared" si="1" ref="J9:O9">IF(J8="","",IF(ISNA(VLOOKUP(J8,$J$70:$L$124,3,FALSE)),"",VLOOKUP(J8,$J$70:$L$124,3,FALSE)))</f>
      </c>
      <c r="K9" s="56">
        <f t="shared" si="1"/>
      </c>
      <c r="L9" s="56">
        <f t="shared" si="1"/>
      </c>
      <c r="M9" s="56">
        <f t="shared" si="1"/>
      </c>
      <c r="N9" s="56">
        <f t="shared" si="1"/>
      </c>
      <c r="O9" s="56">
        <f t="shared" si="1"/>
      </c>
      <c r="P9" s="56">
        <f>IF(ISNA(VLOOKUP(P8,$J$70:$L$124,3,FALSE)),"",VLOOKUP(P8,$J$70:$L$124,3,FALSE))</f>
      </c>
      <c r="Q9" s="54"/>
      <c r="R9" s="56">
        <f aca="true" t="shared" si="2" ref="R9:W9">IF(R8="","",IF(ISNA(VLOOKUP(R8,$J$70:$L$124,3,FALSE)),"",VLOOKUP(R8,$J$70:$L$124,3,FALSE)))</f>
      </c>
      <c r="S9" s="56">
        <f t="shared" si="2"/>
      </c>
      <c r="T9" s="56">
        <f t="shared" si="2"/>
      </c>
      <c r="U9" s="56">
        <f t="shared" si="2"/>
      </c>
      <c r="V9" s="56">
        <f t="shared" si="2"/>
      </c>
      <c r="W9" s="56">
        <f t="shared" si="2"/>
      </c>
      <c r="X9" s="56">
        <f>IF(ISNA(VLOOKUP(X8,$J$70:$L$124,3,FALSE)),"",VLOOKUP(X8,$J$70:$L$124,3,FALSE))</f>
      </c>
      <c r="Y9" s="55"/>
      <c r="Z9" s="55"/>
      <c r="AA9" s="55"/>
    </row>
    <row r="10" spans="1:27" ht="13.5" customHeight="1">
      <c r="A10" s="52"/>
      <c r="B10" s="53">
        <f>DATE(YEAR(H8),MONTH(H8),DAY(H8+1))</f>
        <v>45326</v>
      </c>
      <c r="C10" s="53">
        <f aca="true" t="shared" si="3" ref="C10:H10">DATE(YEAR(B10),MONTH(B10),DAY(B10+1))</f>
        <v>45327</v>
      </c>
      <c r="D10" s="53">
        <f t="shared" si="3"/>
        <v>45328</v>
      </c>
      <c r="E10" s="53">
        <f t="shared" si="3"/>
        <v>45329</v>
      </c>
      <c r="F10" s="53">
        <f t="shared" si="3"/>
        <v>45330</v>
      </c>
      <c r="G10" s="53">
        <f t="shared" si="3"/>
        <v>45331</v>
      </c>
      <c r="H10" s="53">
        <f t="shared" si="3"/>
        <v>45332</v>
      </c>
      <c r="I10" s="54"/>
      <c r="J10" s="53">
        <f>DATE(YEAR(P8),MONTH(P8),DAY(P8+1))</f>
        <v>45354</v>
      </c>
      <c r="K10" s="53">
        <f aca="true" t="shared" si="4" ref="K10:P10">DATE(YEAR(J10),MONTH(J10),DAY(J10+1))</f>
        <v>45355</v>
      </c>
      <c r="L10" s="53">
        <f t="shared" si="4"/>
        <v>45356</v>
      </c>
      <c r="M10" s="53">
        <f t="shared" si="4"/>
        <v>45357</v>
      </c>
      <c r="N10" s="53">
        <f t="shared" si="4"/>
        <v>45358</v>
      </c>
      <c r="O10" s="53">
        <f t="shared" si="4"/>
        <v>45359</v>
      </c>
      <c r="P10" s="53">
        <f t="shared" si="4"/>
        <v>45360</v>
      </c>
      <c r="Q10" s="54"/>
      <c r="R10" s="53">
        <f>DATE(YEAR(X8),MONTH(X8),DAY(X8+1))</f>
        <v>45389</v>
      </c>
      <c r="S10" s="53">
        <f aca="true" t="shared" si="5" ref="S10:X10">DATE(YEAR(R10),MONTH(R10),DAY(R10+1))</f>
        <v>45390</v>
      </c>
      <c r="T10" s="53">
        <f t="shared" si="5"/>
        <v>45391</v>
      </c>
      <c r="U10" s="53">
        <f t="shared" si="5"/>
        <v>45392</v>
      </c>
      <c r="V10" s="53">
        <f t="shared" si="5"/>
        <v>45393</v>
      </c>
      <c r="W10" s="53">
        <f t="shared" si="5"/>
        <v>45394</v>
      </c>
      <c r="X10" s="53">
        <f t="shared" si="5"/>
        <v>45395</v>
      </c>
      <c r="Y10" s="55"/>
      <c r="Z10" s="55"/>
      <c r="AA10" s="55"/>
    </row>
    <row r="11" spans="1:27" ht="30" customHeight="1">
      <c r="A11" s="52"/>
      <c r="B11" s="56">
        <f aca="true" t="shared" si="6" ref="B11:H11">IF(ISNA(VLOOKUP(B10,$J$70:$L$124,3,FALSE)),"",VLOOKUP(B10,$J$70:$L$124,3,FALSE))</f>
      </c>
      <c r="C11" s="56">
        <f t="shared" si="6"/>
      </c>
      <c r="D11" s="56">
        <f t="shared" si="6"/>
      </c>
      <c r="E11" s="56">
        <f t="shared" si="6"/>
      </c>
      <c r="F11" s="56">
        <f t="shared" si="6"/>
      </c>
      <c r="G11" s="56">
        <f t="shared" si="6"/>
      </c>
      <c r="H11" s="56">
        <f t="shared" si="6"/>
      </c>
      <c r="I11" s="54"/>
      <c r="J11" s="56">
        <f aca="true" t="shared" si="7" ref="J11:P11">IF(ISNA(VLOOKUP(J10,$J$70:$L$124,3,FALSE)),"",VLOOKUP(J10,$J$70:$L$124,3,FALSE))</f>
      </c>
      <c r="K11" s="56">
        <f t="shared" si="7"/>
      </c>
      <c r="L11" s="56">
        <f t="shared" si="7"/>
      </c>
      <c r="M11" s="56">
        <f t="shared" si="7"/>
      </c>
      <c r="N11" s="56">
        <f t="shared" si="7"/>
      </c>
      <c r="O11" s="56">
        <f t="shared" si="7"/>
      </c>
      <c r="P11" s="56">
        <f t="shared" si="7"/>
      </c>
      <c r="Q11" s="54"/>
      <c r="R11" s="56">
        <f aca="true" t="shared" si="8" ref="R11:X11">IF(ISNA(VLOOKUP(R10,$J$70:$L$124,3,FALSE)),"",VLOOKUP(R10,$J$70:$L$124,3,FALSE))</f>
      </c>
      <c r="S11" s="56">
        <f t="shared" si="8"/>
      </c>
      <c r="T11" s="56">
        <f t="shared" si="8"/>
      </c>
      <c r="U11" s="56">
        <f t="shared" si="8"/>
      </c>
      <c r="V11" s="56">
        <f t="shared" si="8"/>
      </c>
      <c r="W11" s="56">
        <f t="shared" si="8"/>
      </c>
      <c r="X11" s="56">
        <f t="shared" si="8"/>
      </c>
      <c r="Y11" s="55"/>
      <c r="Z11" s="55"/>
      <c r="AA11" s="55"/>
    </row>
    <row r="12" spans="1:27" ht="13.5" customHeight="1">
      <c r="A12" s="52"/>
      <c r="B12" s="53">
        <f>DATE(YEAR(H10),MONTH(H10),DAY(H10+1))</f>
        <v>45333</v>
      </c>
      <c r="C12" s="53">
        <f aca="true" t="shared" si="9" ref="C12:H12">DATE(YEAR(B12),MONTH(B12),DAY(B12+1))</f>
        <v>45334</v>
      </c>
      <c r="D12" s="53">
        <f t="shared" si="9"/>
        <v>45335</v>
      </c>
      <c r="E12" s="53">
        <f t="shared" si="9"/>
        <v>45336</v>
      </c>
      <c r="F12" s="53">
        <f t="shared" si="9"/>
        <v>45337</v>
      </c>
      <c r="G12" s="53">
        <f t="shared" si="9"/>
        <v>45338</v>
      </c>
      <c r="H12" s="53">
        <f t="shared" si="9"/>
        <v>45339</v>
      </c>
      <c r="I12" s="54"/>
      <c r="J12" s="53">
        <f>DATE(YEAR(P10),MONTH(P10),DAY(P10+1))</f>
        <v>45361</v>
      </c>
      <c r="K12" s="53">
        <f aca="true" t="shared" si="10" ref="K12:P12">DATE(YEAR(J12),MONTH(J12),DAY(J12+1))</f>
        <v>45362</v>
      </c>
      <c r="L12" s="53">
        <f t="shared" si="10"/>
        <v>45363</v>
      </c>
      <c r="M12" s="53">
        <f t="shared" si="10"/>
        <v>45364</v>
      </c>
      <c r="N12" s="53">
        <f t="shared" si="10"/>
        <v>45365</v>
      </c>
      <c r="O12" s="53">
        <f t="shared" si="10"/>
        <v>45366</v>
      </c>
      <c r="P12" s="53">
        <f t="shared" si="10"/>
        <v>45367</v>
      </c>
      <c r="Q12" s="54"/>
      <c r="R12" s="53">
        <f>DATE(YEAR(X10),MONTH(X10),DAY(X10+1))</f>
        <v>45396</v>
      </c>
      <c r="S12" s="53">
        <f aca="true" t="shared" si="11" ref="S12:X12">DATE(YEAR(R12),MONTH(R12),DAY(R12+1))</f>
        <v>45397</v>
      </c>
      <c r="T12" s="53">
        <f t="shared" si="11"/>
        <v>45398</v>
      </c>
      <c r="U12" s="53">
        <f t="shared" si="11"/>
        <v>45399</v>
      </c>
      <c r="V12" s="53">
        <f t="shared" si="11"/>
        <v>45400</v>
      </c>
      <c r="W12" s="53">
        <f t="shared" si="11"/>
        <v>45401</v>
      </c>
      <c r="X12" s="53">
        <f t="shared" si="11"/>
        <v>45402</v>
      </c>
      <c r="Y12" s="55"/>
      <c r="Z12" s="55"/>
      <c r="AA12" s="55"/>
    </row>
    <row r="13" spans="1:27" ht="30" customHeight="1">
      <c r="A13" s="52"/>
      <c r="B13" s="56">
        <f aca="true" t="shared" si="12" ref="B13:H13">IF(ISNA(VLOOKUP(B12,$J$70:$L$124,3,FALSE)),"",VLOOKUP(B12,$J$70:$L$124,3,FALSE))</f>
      </c>
      <c r="C13" s="56" t="str">
        <f t="shared" si="12"/>
        <v>Kenkoku Kinenbi 
(National Foundation Day)</v>
      </c>
      <c r="D13" s="56">
        <f t="shared" si="12"/>
      </c>
      <c r="E13" s="56">
        <f t="shared" si="12"/>
      </c>
      <c r="F13" s="56">
        <f t="shared" si="12"/>
      </c>
      <c r="G13" s="56">
        <f t="shared" si="12"/>
      </c>
      <c r="H13" s="56">
        <f t="shared" si="12"/>
      </c>
      <c r="I13" s="54"/>
      <c r="J13" s="56">
        <f aca="true" t="shared" si="13" ref="J13:P13">IF(ISNA(VLOOKUP(J12,$J$70:$L$124,3,FALSE)),"",VLOOKUP(J12,$J$70:$L$124,3,FALSE))</f>
      </c>
      <c r="K13" s="56">
        <f t="shared" si="13"/>
      </c>
      <c r="L13" s="56">
        <f t="shared" si="13"/>
      </c>
      <c r="M13" s="56">
        <f t="shared" si="13"/>
      </c>
      <c r="N13" s="56">
        <f t="shared" si="13"/>
      </c>
      <c r="O13" s="56">
        <f t="shared" si="13"/>
      </c>
      <c r="P13" s="56">
        <f t="shared" si="13"/>
      </c>
      <c r="Q13" s="54"/>
      <c r="R13" s="56">
        <f aca="true" t="shared" si="14" ref="R13:X13">IF(ISNA(VLOOKUP(R12,$J$70:$L$124,3,FALSE)),"",VLOOKUP(R12,$J$70:$L$124,3,FALSE))</f>
      </c>
      <c r="S13" s="56">
        <f t="shared" si="14"/>
      </c>
      <c r="T13" s="56">
        <f t="shared" si="14"/>
      </c>
      <c r="U13" s="56">
        <f t="shared" si="14"/>
      </c>
      <c r="V13" s="56">
        <f t="shared" si="14"/>
      </c>
      <c r="W13" s="56">
        <f t="shared" si="14"/>
      </c>
      <c r="X13" s="56">
        <f t="shared" si="14"/>
      </c>
      <c r="Y13" s="55"/>
      <c r="Z13" s="55"/>
      <c r="AA13" s="55"/>
    </row>
    <row r="14" spans="1:27" ht="13.5" customHeight="1">
      <c r="A14" s="52"/>
      <c r="B14" s="53">
        <f>DATE(YEAR(H12),MONTH(H12),DAY(H12+1))</f>
        <v>45340</v>
      </c>
      <c r="C14" s="53">
        <f aca="true" t="shared" si="15" ref="C14:H14">DATE(YEAR(B14),MONTH(B14),DAY(B14+1))</f>
        <v>45341</v>
      </c>
      <c r="D14" s="53">
        <f t="shared" si="15"/>
        <v>45342</v>
      </c>
      <c r="E14" s="53">
        <f t="shared" si="15"/>
        <v>45343</v>
      </c>
      <c r="F14" s="53">
        <f t="shared" si="15"/>
        <v>45344</v>
      </c>
      <c r="G14" s="53">
        <f t="shared" si="15"/>
        <v>45345</v>
      </c>
      <c r="H14" s="53">
        <f t="shared" si="15"/>
        <v>45346</v>
      </c>
      <c r="I14" s="54"/>
      <c r="J14" s="53">
        <f>DATE(YEAR(P12),MONTH(P12),DAY(P12+1))</f>
        <v>45368</v>
      </c>
      <c r="K14" s="53">
        <f aca="true" t="shared" si="16" ref="K14:P14">DATE(YEAR(J14),MONTH(J14),DAY(J14+1))</f>
        <v>45369</v>
      </c>
      <c r="L14" s="53">
        <f t="shared" si="16"/>
        <v>45370</v>
      </c>
      <c r="M14" s="53">
        <f t="shared" si="16"/>
        <v>45371</v>
      </c>
      <c r="N14" s="53">
        <f t="shared" si="16"/>
        <v>45372</v>
      </c>
      <c r="O14" s="53">
        <f t="shared" si="16"/>
        <v>45373</v>
      </c>
      <c r="P14" s="53">
        <f t="shared" si="16"/>
        <v>45374</v>
      </c>
      <c r="Q14" s="54"/>
      <c r="R14" s="53">
        <f>DATE(YEAR(X12),MONTH(X12),DAY(X12+1))</f>
        <v>45403</v>
      </c>
      <c r="S14" s="53">
        <f aca="true" t="shared" si="17" ref="S14:X14">DATE(YEAR(R14),MONTH(R14),DAY(R14+1))</f>
        <v>45404</v>
      </c>
      <c r="T14" s="53">
        <f t="shared" si="17"/>
        <v>45405</v>
      </c>
      <c r="U14" s="53">
        <f t="shared" si="17"/>
        <v>45406</v>
      </c>
      <c r="V14" s="53">
        <f t="shared" si="17"/>
        <v>45407</v>
      </c>
      <c r="W14" s="53">
        <f t="shared" si="17"/>
        <v>45408</v>
      </c>
      <c r="X14" s="53">
        <f t="shared" si="17"/>
        <v>45409</v>
      </c>
      <c r="Y14" s="55"/>
      <c r="Z14" s="55"/>
      <c r="AA14" s="55"/>
    </row>
    <row r="15" spans="1:27" ht="30" customHeight="1">
      <c r="A15" s="52"/>
      <c r="B15" s="56">
        <f aca="true" t="shared" si="18" ref="B15:H15">IF(ISNA(VLOOKUP(B14,$J$70:$L$124,3,FALSE)),"",VLOOKUP(B14,$J$70:$L$124,3,FALSE))</f>
      </c>
      <c r="C15" s="56">
        <f t="shared" si="18"/>
      </c>
      <c r="D15" s="56">
        <f t="shared" si="18"/>
      </c>
      <c r="E15" s="56" t="str">
        <f t="shared" si="18"/>
        <v>Holiday Schedule modified</v>
      </c>
      <c r="F15" s="56">
        <f t="shared" si="18"/>
      </c>
      <c r="G15" s="56">
        <f t="shared" si="18"/>
      </c>
      <c r="H15" s="56">
        <f t="shared" si="18"/>
      </c>
      <c r="I15" s="54"/>
      <c r="J15" s="56">
        <f aca="true" t="shared" si="19" ref="J15:P15">IF(ISNA(VLOOKUP(J14,$J$70:$L$124,3,FALSE)),"",VLOOKUP(J14,$J$70:$L$124,3,FALSE))</f>
      </c>
      <c r="K15" s="56">
        <f t="shared" si="19"/>
      </c>
      <c r="L15" s="56">
        <f t="shared" si="19"/>
      </c>
      <c r="M15" s="56" t="str">
        <f t="shared" si="19"/>
        <v>Shunbun no hi 
(Spring Equinox)</v>
      </c>
      <c r="N15" s="56">
        <f t="shared" si="19"/>
      </c>
      <c r="O15" s="56">
        <f t="shared" si="19"/>
      </c>
      <c r="P15" s="56">
        <f t="shared" si="19"/>
      </c>
      <c r="Q15" s="54"/>
      <c r="R15" s="56">
        <f aca="true" t="shared" si="20" ref="R15:X15">IF(ISNA(VLOOKUP(R14,$J$70:$L$124,3,FALSE)),"",VLOOKUP(R14,$J$70:$L$124,3,FALSE))</f>
      </c>
      <c r="S15" s="56">
        <f t="shared" si="20"/>
      </c>
      <c r="T15" s="56">
        <f t="shared" si="20"/>
      </c>
      <c r="U15" s="56">
        <f t="shared" si="20"/>
      </c>
      <c r="V15" s="56">
        <f t="shared" si="20"/>
      </c>
      <c r="W15" s="56">
        <f t="shared" si="20"/>
      </c>
      <c r="X15" s="56">
        <f t="shared" si="20"/>
      </c>
      <c r="Y15" s="55"/>
      <c r="Z15" s="55"/>
      <c r="AA15" s="55"/>
    </row>
    <row r="16" spans="1:27" ht="13.5" customHeight="1">
      <c r="A16" s="52"/>
      <c r="B16" s="53">
        <f>IF(DAY(H8+22)=1,"",DATE(YEAR(H8),MONTH(H8),DAY(H8+22)))</f>
        <v>45347</v>
      </c>
      <c r="C16" s="53">
        <f>IF(OR(DAY(H8+22)=1,DAY(H8+23)=1),"",IF(OR(NOT(MONTH($F$4)=2),AND(MONTH($F$4)=2,OR(MOD(YEAR($F$4),400)=0,AND(MOD(YEAR($F$4),4)=0,MOD(YEAR($F$4),100)&lt;&gt;0)))),DATE(YEAR(B16),MONTH(B16),DAY(B16+1)),IF(AND(MONTH($F$4)=2,OR($C$8="",$D$8="")),DATE(YEAR(B16),MONTH(B16),DAY(B16+1)),"")))</f>
        <v>45348</v>
      </c>
      <c r="D16" s="53">
        <f>IF(OR(DAY(H8+22)=1,DAY(H8+23)=1,DAY(H8+24)=1),"",IF(OR(NOT(MONTH($F$4)=2),AND(MONTH($F$4)=2,OR(MOD(YEAR($F$4),400)=0,AND(MOD(YEAR($F$4),4)=0,MOD(YEAR($F$4),100)&lt;&gt;0)))),DATE(YEAR(C16),MONTH(C16),DAY(C16+1)),IF(AND(MONTH($F$4)=2,OR($C$8="",$D$8="")),DATE(YEAR(C16),MONTH(C16),DAY(C16+1)),"")))</f>
        <v>45349</v>
      </c>
      <c r="E16" s="53">
        <f>IF(OR(DAY(H8+22)=1,DAY($H$8+23)=1,DAY($H$8+24)=1,DAY($H$8+25)=1),"",IF(OR(NOT(MONTH($F$4)=2),AND(MONTH($F$4)=2,OR(MOD(YEAR($F$4),400)=0,AND(MOD(YEAR($F$4),4)=0,MOD(YEAR($F$4),100)&lt;&gt;0)))),DATE(YEAR(D16),MONTH(D16),DAY(D16+1)),IF(AND(MONTH(B5)=2,OR($C$8="",$D$8="")),DATE(YEAR(D16),MONTH(D16),DAY(D16+1)),"")))</f>
        <v>45350</v>
      </c>
      <c r="F16" s="53">
        <f>IF(OR(DAY(H8+22)=1,DAY($H$8+23)=1,DAY($H$8+24)=1,DAY($H$8+25)=1,DAY($H$8+26)=1),"",IF(OR(NOT(MONTH($F$4)=2),AND(MONTH($F$4)=2,OR(MOD(YEAR($F$4),400)=0,AND(MOD(YEAR($F$4),4)=0,MOD(YEAR($F$4),100)&lt;&gt;0)))),DATE(YEAR(E16),MONTH(E16),DAY(E16+1)),IF(AND(MONTH($F$4)=2,OR($C$8="",$D$8="")),DATE(YEAR(E16),MONTH(E16),DAY(E16+1)),"")))</f>
        <v>45351</v>
      </c>
      <c r="G16" s="53">
        <f>IF(OR(DAY(H8+22)=1,DAY($H$8+23)=1,DAY($H$8+24)=1,DAY($H$8+25)=1,DAY($H$8+26)=1,DAY($H$8+27)=1),"",IF(OR(NOT(MONTH($F$4)=2),AND(MONTH($F$4)=2,OR(MOD(YEAR($F$4),400)=0,AND(MOD(YEAR($F$4),4)=0,MOD(YEAR($F$4),100)&lt;&gt;0)))),DATE(YEAR(F16),MONTH(F16),DAY(F16+1)),IF(AND(MONTH($F$4)=2,OR($C$8="",$D$8="")),DATE(YEAR(F16),MONTH(F16),DAY(F16+1)),"")))</f>
      </c>
      <c r="H16" s="53">
        <f>IF(OR(DAY(H8+22)=1,DAY($H$8+23)=1,DAY($H$8+24)=1,DAY($H$8+25)=1,DAY($H$8+26)=1,DAY($H$8+27)=1,DAY($H$8+28)=1),"",IF(OR(NOT(MONTH($F$4)=2),AND(MONTH($F$4)=2,OR(MOD(YEAR($F$4),400)=0,AND(MOD(YEAR($F$4),4)=0,MOD(YEAR($F$4),100)&lt;&gt;0)))),DATE(YEAR(G16),MONTH(G16),DAY(G16+1)),IF(AND(MONTH($F$4)=2,OR($C$8="",$D$8="")),DATE(YEAR(G16),MONTH(G16),DAY(G16+1)),"")))</f>
      </c>
      <c r="I16" s="54"/>
      <c r="J16" s="53">
        <f>IF(DAY(P8+22)=1,"",DATE(YEAR(P8),MONTH(P8),DAY(P8+22)))</f>
        <v>45375</v>
      </c>
      <c r="K16" s="53">
        <f>IF(OR(DAY(H8+22)=1,DAY(P8+23)=1),"",IF(OR(NOT(MONTH(J5)=2),AND(MONTH(J5)=2,OR(MOD(YEAR(J5),400)=0,AND(MOD(YEAR(J5),4)=0,MOD(YEAR(J5),100)&lt;&gt;0)))),DATE(YEAR(J16),MONTH(J16),DAY(J16+1)),IF(AND(MONTH(J5)=2,OR(K8="",L8="")),DATE(YEAR(J16),MONTH(J16),DAY(J16+1)),"")))</f>
        <v>45376</v>
      </c>
      <c r="L16" s="53">
        <f>IF(OR(DAY(H8+22)=1,DAY(P8+23)=1,DAY(P8+24)=1),"",IF(OR(NOT(MONTH(J5)=2),AND(MONTH(J5)=2,OR(MOD(YEAR(J5),400)=0,AND(MOD(YEAR(J5),4)=0,MOD(YEAR(J5),100)&lt;&gt;0)))),DATE(YEAR(K16),MONTH(K16),DAY(K16+1)),IF(AND(MONTH(J5)=2,OR(K8="",L8="")),DATE(YEAR(K16),MONTH(K16),DAY(K16+1)),"")))</f>
        <v>45377</v>
      </c>
      <c r="M16" s="53">
        <f>IF(OR(DAY(H8+22)=1,DAY(P8+23)=1,DAY(P8+24)=1,DAY(P8+25)=1),"",IF(OR(NOT(MONTH(J5)=2),AND(MONTH(J5)=2,OR(MOD(YEAR(J5),400)=0,AND(MOD(YEAR(J5),4)=0,MOD(YEAR(J5),100)&lt;&gt;0)))),DATE(YEAR(L16),MONTH(L16),DAY(L16+1)),IF(AND(MONTH(J5)=2,OR(K8="",L8="")),DATE(YEAR(L16),MONTH(L16),DAY(L16+1)),"")))</f>
        <v>45378</v>
      </c>
      <c r="N16" s="53">
        <f>IF(OR(DAY(H8+22)=1,DAY(P8+23)=1,DAY(P8+24)=1,DAY(P8+25)=1,DAY(P8+26)=1),"",IF(OR(NOT(MONTH(J5)=2),AND(MONTH(J5)=2,OR(MOD(YEAR(J5),400)=0,AND(MOD(YEAR(J5),4)=0,MOD(YEAR(J5),100)&lt;&gt;0)))),DATE(YEAR(M16),MONTH(M16),DAY(M16+1)),IF(AND(MONTH(J5)=2,OR(K8="",L8="")),DATE(YEAR(M16),MONTH(M16),DAY(M16+1)),"")))</f>
        <v>45379</v>
      </c>
      <c r="O16" s="53">
        <f>IF(OR(DAY(H8+22)=1,DAY(P8+23)=1,DAY(P8+24)=1,DAY(P8+25)=1,DAY(P8+26)=1,DAY(P8+27)=1),"",IF(OR(NOT(MONTH(J5)=2),AND(MONTH(J5)=2,OR(MOD(YEAR(J5),400)=0,AND(MOD(YEAR(J5),4)=0,MOD(YEAR(J5),100)&lt;&gt;0)))),DATE(YEAR(N16),MONTH(N16),DAY(N16+1)),IF(AND(MONTH(J5)=2,OR(K8="",L8="")),DATE(YEAR(N16),MONTH(N16),DAY(N16+1)),"")))</f>
        <v>45380</v>
      </c>
      <c r="P16" s="53">
        <f>IF(OR(DAY(H8+22)=1,DAY(P8+23)=1,DAY(P8+24)=1,DAY(P8+25)=1,DAY(P8+26)=1,DAY(P8+27)=1,DAY(P8+28)=1),"",IF(OR(NOT(MONTH(J5)=2),AND(MONTH(J5)=2,OR(MOD(YEAR(J5),400)=0,AND(MOD(YEAR(J5),4)=0,MOD(YEAR(J5),100)&lt;&gt;0)))),DATE(YEAR(O16),MONTH(O16),DAY(O16+1)),IF(AND(MONTH(J5)=2,OR(K8="",L8="")),DATE(YEAR(O16),MONTH(O16),DAY(O16+1)),"")))</f>
        <v>45381</v>
      </c>
      <c r="Q16" s="54"/>
      <c r="R16" s="53">
        <f>IF(DAY(X8+22)=1,"",DATE(YEAR(X8),MONTH(X8),DAY(X8+22)))</f>
        <v>45410</v>
      </c>
      <c r="S16" s="53">
        <f>IF(OR(DAY(X8+22)=1,DAY(X8+23)=1),"",IF(OR(NOT(MONTH(R5)=2),AND(MONTH(R5)=2,OR(MOD(YEAR(R5),400)=0,AND(MOD(YEAR(R5),4)=0,MOD(YEAR(R5),100)&lt;&gt;0)))),DATE(YEAR(R16),MONTH(R16),DAY(R16+1)),IF(AND(MONTH(R5)=2,OR(S8="",T8="")),DATE(YEAR(R16),MONTH(R16),DAY(R16+1)),"")))</f>
        <v>45411</v>
      </c>
      <c r="T16" s="53">
        <f>IF(OR(DAY(X8+22)=1,DAY(X8+23)=1,DAY(X8+24)=1),"",IF(OR(NOT(MONTH(R5)=2),AND(MONTH(R5)=2,OR(MOD(YEAR(R5),400)=0,AND(MOD(YEAR(R5),4)=0,MOD(YEAR(R5),100)&lt;&gt;0)))),DATE(YEAR(S16),MONTH(S16),DAY(S16+1)),IF(AND(MONTH(R5)=2,OR(S8="",T8="")),DATE(YEAR(S16),MONTH(S16),DAY(S16+1)),"")))</f>
        <v>45412</v>
      </c>
      <c r="U16" s="53">
        <f>IF(OR(DAY(X8+22)=1,DAY(X8+23)=1,DAY(X8+24)=1,DAY(X8+25)=1),"",IF(OR(NOT(MONTH(R5)=2),AND(MONTH(R5)=2,OR(MOD(YEAR(R5),400)=0,AND(MOD(YEAR(R5),4)=0,MOD(YEAR(R5),100)&lt;&gt;0)))),DATE(YEAR(T16),MONTH(T16),DAY(T16+1)),IF(AND(MONTH(R5)=2,OR(S8="",T8="")),DATE(YEAR(T16),MONTH(T16),DAY(T16+1)),"")))</f>
      </c>
      <c r="V16" s="53">
        <f>IF(OR(DAY(X8+22)=1,DAY(X8+23)=1,DAY(X8+24)=1,DAY(X8+25)=1,DAY(X8+26)=1),"",IF(OR(NOT(MONTH(R5)=2),AND(MONTH(R5)=2,OR(MOD(YEAR(R5),400)=0,AND(MOD(YEAR(R5),4)=0,MOD(YEAR(R5),100)&lt;&gt;0)))),DATE(YEAR(U16),MONTH(U16),DAY(U16+1)),IF(AND(MONTH(R5)=2,OR(S8="",T8="")),DATE(YEAR(U16),MONTH(U16),DAY(U16+1)),"")))</f>
      </c>
      <c r="W16" s="53">
        <f>IF(OR(DAY(X8+22)=1,DAY(X8+23)=1,DAY(X8+24)=1,DAY(X8+25)=1,DAY(X8+26)=1,DAY(X8+27)=1),"",IF(OR(NOT(MONTH(R5)=2),AND(MONTH(R5)=2,OR(MOD(YEAR(R5),400)=0,AND(MOD(YEAR(R5),4)=0,MOD(YEAR(R5),100)&lt;&gt;0)))),DATE(YEAR(V16),MONTH(V16),DAY(V16+1)),IF(AND(MONTH(R5)=2,OR(S8="",T8="")),DATE(YEAR(V16),MONTH(V16),DAY(V16+1)),"")))</f>
      </c>
      <c r="X16" s="53">
        <f>IF(OR(DAY(X8+22)=1,DAY(X8+23)=1,DAY(X8+24)=1,DAY(X8+25)=1,DAY(X8+26)=1,DAY(X8+27)=1,DAY(X8+28)=1),"",IF(OR(NOT(MONTH(R5)=2),AND(MONTH(R5)=2,OR(MOD(YEAR(R5),400)=0,AND(MOD(YEAR(R5),4)=0,MOD(YEAR(R5),100)&lt;&gt;0)))),DATE(YEAR(W16),MONTH(W16),DAY(W16+1)),IF(AND(MONTH(R5)=2,OR(S8="",T8="")),DATE(YEAR(W16),MONTH(W16),DAY(W16+1)),"")))</f>
      </c>
      <c r="Y16" s="55"/>
      <c r="Z16" s="55"/>
      <c r="AA16" s="55"/>
    </row>
    <row r="17" spans="1:27" ht="30" customHeight="1">
      <c r="A17" s="52"/>
      <c r="B17" s="56">
        <f aca="true" t="shared" si="21" ref="B17:H17">IF(B16="","",IF(ISNA(VLOOKUP(B16,$J$70:$L$124,3,FALSE)),"",VLOOKUP(B16,$J$70:$L$124,3,FALSE)))</f>
      </c>
      <c r="C17" s="56">
        <f t="shared" si="21"/>
      </c>
      <c r="D17" s="56">
        <f t="shared" si="21"/>
      </c>
      <c r="E17" s="56">
        <f t="shared" si="21"/>
      </c>
      <c r="F17" s="56">
        <f t="shared" si="21"/>
      </c>
      <c r="G17" s="56">
        <f t="shared" si="21"/>
      </c>
      <c r="H17" s="56">
        <f t="shared" si="21"/>
      </c>
      <c r="I17" s="54"/>
      <c r="J17" s="56">
        <f aca="true" t="shared" si="22" ref="J17:P17">IF(J16="","",IF(ISNA(VLOOKUP(J16,$J$70:$L$124,3,FALSE)),"",VLOOKUP(J16,$J$70:$L$124,3,FALSE)))</f>
      </c>
      <c r="K17" s="56">
        <f t="shared" si="22"/>
      </c>
      <c r="L17" s="56">
        <f t="shared" si="22"/>
      </c>
      <c r="M17" s="56" t="str">
        <f t="shared" si="22"/>
        <v>Vacation</v>
      </c>
      <c r="N17" s="56">
        <f t="shared" si="22"/>
      </c>
      <c r="O17" s="56">
        <f t="shared" si="22"/>
      </c>
      <c r="P17" s="56">
        <f t="shared" si="22"/>
      </c>
      <c r="Q17" s="54"/>
      <c r="R17" s="56">
        <f aca="true" t="shared" si="23" ref="R17:X17">IF(R16="","",IF(ISNA(VLOOKUP(R16,$J$70:$L$124,3,FALSE)),"",VLOOKUP(R16,$J$70:$L$124,3,FALSE)))</f>
      </c>
      <c r="S17" s="56" t="str">
        <f t="shared" si="23"/>
        <v>Showa no hi</v>
      </c>
      <c r="T17" s="56">
        <f t="shared" si="23"/>
      </c>
      <c r="U17" s="56">
        <f t="shared" si="23"/>
      </c>
      <c r="V17" s="56">
        <f t="shared" si="23"/>
      </c>
      <c r="W17" s="56">
        <f t="shared" si="23"/>
      </c>
      <c r="X17" s="56">
        <f t="shared" si="23"/>
      </c>
      <c r="Y17" s="55"/>
      <c r="Z17" s="55"/>
      <c r="AA17" s="55"/>
    </row>
    <row r="18" spans="1:27" ht="13.5" customHeight="1">
      <c r="A18" s="58"/>
      <c r="B18" s="53">
        <f>IF(OR(DAY(H8+22)=1,DAY($H$8+23)=1,DAY($H$8+24)=1,DAY($H$8+25)=1,DAY($H$8+26)=1,DAY($H$8+27)=1,DAY($H$8+28)=1,DAY($H$8+29)=1),"",IF(MONTH($F$4)=2,"",DATE(YEAR(H16),MONTH(H16),DAY(H16+1))))</f>
      </c>
      <c r="C18" s="53">
        <f>IF(OR(DAY(H8+22)=1,DAY($H$8+23)=1,DAY($H$8+24)=1,DAY($H$8+25)=1,DAY($H$8+26)=1,DAY($H$8+27)=1,DAY($H$8+28)=1,DAY($H$8+29)=1,DAY($H$8+30)=1),"",IF(OR(MONTH($F$4)=2,MONTH($F$4)=4,MONTH($F$4)=6,MONTH($F$4)=9,MONTH(B5)=11),"",DATE(YEAR(B18),MONTH(B18),DAY(B18+1))))</f>
      </c>
      <c r="I18" s="54"/>
      <c r="J18" s="53">
        <f>IF(OR(DAY(P8+22)=1,DAY(P8+23)=1,DAY(P8+24)=1,DAY(P8+25)=1,DAY(P8+26)=1,DAY(P8+27)=1,DAY(P8+28)=1,DAY(P8+29)=1),"",IF(MONTH(J5)=2,"",DATE(YEAR(P16),MONTH(P16),DAY(P16+1))))</f>
        <v>45382</v>
      </c>
      <c r="K18" s="53">
        <f>IF(OR(DAY(P8+22)=1,DAY(P8+23)=1,DAY(P8+24)=1,DAY(P8+25)=1,DAY(P8+26)=1,DAY(P8+27)=1,DAY(P8+28)=1,DAY(P8+29)=1,DAY(P8+30)=1),"",IF(OR(MONTH(J5)=2,MONTH(J5)=4,MONTH(J5)=6,MONTH(J5)=9,MONTH(J5)=11),"",DATE(YEAR(J18),MONTH(J18),DAY(J18+1))))</f>
      </c>
      <c r="Q18" s="54"/>
      <c r="R18" s="53">
        <f>IF(OR(DAY(X8+22)=1,DAY(X8+23)=1,DAY(X8+24)=1,DAY(X8+25)=1,DAY(X8+26)=1,DAY(X8+27)=1,DAY(X8+28)=1,DAY(X8+29)=1),"",IF(MONTH(R5)=2,"",DATE(YEAR(X16),MONTH(X16),DAY(X16+1))))</f>
      </c>
      <c r="S18" s="53">
        <f>IF(OR(DAY(X8+22)=1,DAY(X8+23)=1,DAY(X8+24)=1,DAY(X8+25)=1,DAY(X8+26)=1,DAY(X8+27)=1,DAY(X8+28)=1,DAY(X8+29)=1,DAY(X8+30)=1),"",IF(OR(MONTH(R5)=2,MONTH(R5)=4,MONTH(R5)=6,MONTH(R5)=9,MONTH(R5)=11),"",DATE(YEAR(R18),MONTH(R18),DAY(R18+1))))</f>
      </c>
      <c r="Y18" s="55"/>
      <c r="Z18" s="55"/>
      <c r="AA18" s="55"/>
    </row>
    <row r="19" spans="1:27" ht="30" customHeight="1">
      <c r="A19" s="58"/>
      <c r="B19" s="56">
        <f>IF(B18="","",IF(ISNA(VLOOKUP(B18,$J$70:$L$124,3,FALSE)),"",VLOOKUP(B18,$J$70:$L$124,3,FALSE)))</f>
      </c>
      <c r="C19" s="56">
        <f>IF(C18="","",IF(ISNA(VLOOKUP(C18,$J$70:$L$124,3,FALSE)),"",VLOOKUP(C18,$J$70:$L$124,3,FALSE)))</f>
      </c>
      <c r="I19" s="54"/>
      <c r="J19" s="56">
        <f>IF(J18="","",IF(ISNA(VLOOKUP(J18,$J$70:$L$124,3,FALSE)),"",VLOOKUP(J18,$J$70:$L$124,3,FALSE)))</f>
      </c>
      <c r="K19" s="56">
        <f>IF(K18="","",IF(ISNA(VLOOKUP(K18,$J$70:$L$124,3,FALSE)),"",VLOOKUP(K18,$J$70:$L$124,3,FALSE)))</f>
      </c>
      <c r="Q19" s="54"/>
      <c r="R19" s="56"/>
      <c r="S19" s="56"/>
      <c r="Y19" s="55"/>
      <c r="Z19" s="55"/>
      <c r="AA19" s="55"/>
    </row>
    <row r="20" spans="1:27" ht="9" customHeight="1">
      <c r="A20" s="47"/>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row r="21" spans="1:27" ht="13.5" customHeight="1">
      <c r="A21" s="47"/>
      <c r="B21" s="213">
        <f>IF(MONTH(R5)=12,TEXT(DATE(YEAR(R5)+1,1,1),"mmmm yyyy"),DATE(YEAR(R5),MONTH(R5)+1,1))</f>
        <v>45413</v>
      </c>
      <c r="C21" s="213"/>
      <c r="D21" s="213"/>
      <c r="E21" s="46"/>
      <c r="I21" s="90">
        <f>DATE(YEAR(Y5),MONTH(Y5)+1,1)</f>
        <v>45413</v>
      </c>
      <c r="J21" s="213">
        <f>IF(MONTH(B21)=12,TEXT(DATE(YEAR(B21)+1,1,1),"mmmm yyyy"),DATE(YEAR(B21),MONTH(B21)+1,1))</f>
        <v>45444</v>
      </c>
      <c r="K21" s="213"/>
      <c r="L21" s="213"/>
      <c r="M21" s="46"/>
      <c r="Q21" s="90">
        <f>DATE(YEAR(I21),MONTH(I21)+1,1)</f>
        <v>45444</v>
      </c>
      <c r="R21" s="213">
        <f>IF(MONTH(J21)=12,TEXT(DATE(YEAR(J21)+1,1,1),"mmmm yyyy"),DATE(YEAR(J21),MONTH(J21)+1,1))</f>
        <v>45474</v>
      </c>
      <c r="S21" s="213"/>
      <c r="T21" s="213"/>
      <c r="U21" s="46"/>
      <c r="Y21" s="90">
        <f>DATE(YEAR(Q21),MONTH(Q21)+1,1)</f>
        <v>45474</v>
      </c>
      <c r="Z21" s="46"/>
      <c r="AA21" s="46"/>
    </row>
    <row r="22" spans="1:27" ht="9.75" customHeight="1">
      <c r="A22" s="47"/>
      <c r="B22" s="48"/>
      <c r="C22" s="46"/>
      <c r="D22" s="46"/>
      <c r="E22" s="46"/>
      <c r="F22" s="46"/>
      <c r="G22" s="46"/>
      <c r="H22" s="46"/>
      <c r="I22" s="46"/>
      <c r="J22" s="59"/>
      <c r="K22" s="46"/>
      <c r="L22" s="46"/>
      <c r="M22" s="46"/>
      <c r="N22" s="46"/>
      <c r="O22" s="46"/>
      <c r="P22" s="46"/>
      <c r="Q22" s="46"/>
      <c r="R22" s="48"/>
      <c r="S22" s="46"/>
      <c r="T22" s="46"/>
      <c r="U22" s="46"/>
      <c r="V22" s="46"/>
      <c r="W22" s="46"/>
      <c r="X22" s="46"/>
      <c r="Y22" s="46"/>
      <c r="Z22" s="46"/>
      <c r="AA22" s="46"/>
    </row>
    <row r="23" spans="1:27" ht="13.5" customHeight="1">
      <c r="A23" s="47"/>
      <c r="B23" s="49" t="s">
        <v>61</v>
      </c>
      <c r="C23" s="50" t="s">
        <v>62</v>
      </c>
      <c r="D23" s="50" t="s">
        <v>63</v>
      </c>
      <c r="E23" s="50" t="s">
        <v>64</v>
      </c>
      <c r="F23" s="50" t="s">
        <v>65</v>
      </c>
      <c r="G23" s="50" t="s">
        <v>66</v>
      </c>
      <c r="H23" s="49" t="s">
        <v>67</v>
      </c>
      <c r="I23" s="51"/>
      <c r="J23" s="49" t="s">
        <v>61</v>
      </c>
      <c r="K23" s="50" t="s">
        <v>62</v>
      </c>
      <c r="L23" s="50" t="s">
        <v>63</v>
      </c>
      <c r="M23" s="50" t="s">
        <v>64</v>
      </c>
      <c r="N23" s="50" t="s">
        <v>65</v>
      </c>
      <c r="O23" s="50" t="s">
        <v>66</v>
      </c>
      <c r="P23" s="49" t="s">
        <v>67</v>
      </c>
      <c r="Q23" s="51"/>
      <c r="R23" s="49" t="s">
        <v>61</v>
      </c>
      <c r="S23" s="50" t="s">
        <v>62</v>
      </c>
      <c r="T23" s="50" t="s">
        <v>63</v>
      </c>
      <c r="U23" s="50" t="s">
        <v>64</v>
      </c>
      <c r="V23" s="50" t="s">
        <v>65</v>
      </c>
      <c r="W23" s="50" t="s">
        <v>66</v>
      </c>
      <c r="X23" s="49" t="s">
        <v>67</v>
      </c>
      <c r="Y23" s="51"/>
      <c r="Z23" s="51"/>
      <c r="AA23" s="51"/>
    </row>
    <row r="24" spans="1:27" ht="13.5" customHeight="1">
      <c r="A24" s="54"/>
      <c r="B24" s="53">
        <f>IF(WEEKDAY(DATE(YEAR(B21),MONTH(B21),DAY(1)),1)=1,DATE(YEAR(B21),MONTH(B21),DAY(1)),"")</f>
      </c>
      <c r="C24" s="53">
        <f>IF(WEEKDAY(DATE(YEAR(B21),MONTH(B21),DAY(1)),1)=2,DATE(YEAR(B21),MONTH(B21),DAY(1)),IF(NOT(B24=""),B24+1,""))</f>
      </c>
      <c r="D24" s="53">
        <f>IF(WEEKDAY(DATE(YEAR(B21),MONTH(B21),DAY(1)),1)=3,DATE(YEAR(B21),MONTH(B21),DAY(1)),IF(NOT(C24=""),C24+1,""))</f>
      </c>
      <c r="E24" s="53">
        <f>IF(WEEKDAY(DATE(YEAR(B21),MONTH(B21),DAY(1)),1)=4,DATE(YEAR(B21),MONTH(B21),DAY(1)),IF(NOT(D24=""),D24+1,""))</f>
        <v>45413</v>
      </c>
      <c r="F24" s="53">
        <f>IF(WEEKDAY(DATE(YEAR(B21),MONTH(B21),DAY(1)),1)=5,DATE(YEAR(B21),MONTH(B21),DAY(1)),IF(NOT(E24=""),E24+1,""))</f>
        <v>45414</v>
      </c>
      <c r="G24" s="53">
        <f>IF(WEEKDAY(DATE(YEAR(B21),MONTH(B21),DAY(1)),1)=6,DATE(YEAR(B21),MONTH(B21),DAY(1)),IF(NOT(F24=""),F24+1,""))</f>
        <v>45415</v>
      </c>
      <c r="H24" s="53">
        <f>IF(WEEKDAY(DATE(YEAR(B21),MONTH(B21),DAY(1)),1)=7,DATE(YEAR(B21),MONTH(B21),DAY(1)),DATE(YEAR(G24),MONTH(G24),DAY(G24+1)))</f>
        <v>45416</v>
      </c>
      <c r="I24" s="54"/>
      <c r="J24" s="53">
        <f>IF(WEEKDAY(DATE(YEAR(J21),MONTH(J21),DAY(1)),1)=1,DATE(YEAR(J21),MONTH(J21),DAY(1)),"")</f>
      </c>
      <c r="K24" s="53">
        <f>IF(WEEKDAY(DATE(YEAR(J21),MONTH(J21),DAY(1)),1)=2,DATE(YEAR(J21),MONTH(J21),DAY(1)),IF(NOT(J24=""),J24+1,""))</f>
      </c>
      <c r="L24" s="53">
        <f>IF(WEEKDAY(DATE(YEAR(J21),MONTH(J21),DAY(1)),1)=3,DATE(YEAR(J21),MONTH(J21),DAY(1)),IF(NOT(K24=""),K24+1,""))</f>
      </c>
      <c r="M24" s="53">
        <f>IF(WEEKDAY(DATE(YEAR(J21),MONTH(J21),DAY(1)),1)=4,DATE(YEAR(J21),MONTH(J21),DAY(1)),IF(NOT(L24=""),L24+1,""))</f>
      </c>
      <c r="N24" s="53">
        <f>IF(WEEKDAY(DATE(YEAR(J21),MONTH(J21),DAY(1)),1)=5,DATE(YEAR(J21),MONTH(J21),DAY(1)),IF(NOT(M24=""),M24+1,""))</f>
      </c>
      <c r="O24" s="53">
        <f>IF(WEEKDAY(DATE(YEAR(J21),MONTH(J21),DAY(1)),1)=6,DATE(YEAR(J21),MONTH(J21),DAY(1)),IF(NOT(N24=""),N24+1,""))</f>
      </c>
      <c r="P24" s="53">
        <f>IF(WEEKDAY(DATE(YEAR(J21),MONTH(J21),DAY(1)),1)=7,DATE(YEAR(J21),MONTH(J21),DAY(1)),DATE(YEAR(O24),MONTH(O24),DAY(O24+1)))</f>
        <v>45444</v>
      </c>
      <c r="Q24" s="54"/>
      <c r="R24" s="53">
        <f>IF(WEEKDAY(DATE(YEAR(R21),MONTH(R21),DAY(1)),1)=1,DATE(YEAR(R21),MONTH(R21),DAY(1)),"")</f>
      </c>
      <c r="S24" s="53">
        <f>IF(WEEKDAY(DATE(YEAR(R21),MONTH(R21),DAY(1)),1)=2,DATE(YEAR(R21),MONTH(R21),DAY(1)),IF(NOT(R24=""),R24+1,""))</f>
        <v>45474</v>
      </c>
      <c r="T24" s="53">
        <f>IF(WEEKDAY(DATE(YEAR(R21),MONTH(R21),DAY(1)),1)=3,DATE(YEAR(R21),MONTH(R21),DAY(1)),IF(NOT(S24=""),S24+1,""))</f>
        <v>45475</v>
      </c>
      <c r="U24" s="53">
        <f>IF(WEEKDAY(DATE(YEAR(R21),MONTH(R21),DAY(1)),1)=4,DATE(YEAR(R21),MONTH(R21),DAY(1)),IF(NOT(T24=""),T24+1,""))</f>
        <v>45476</v>
      </c>
      <c r="V24" s="53">
        <f>IF(WEEKDAY(DATE(YEAR(R21),MONTH(R21),DAY(1)),1)=5,DATE(YEAR(R21),MONTH(R21),DAY(1)),IF(NOT(U24=""),U24+1,""))</f>
        <v>45477</v>
      </c>
      <c r="W24" s="53">
        <f>IF(WEEKDAY(DATE(YEAR(R21),MONTH(R21),DAY(1)),1)=6,DATE(YEAR(R21),MONTH(R21),DAY(1)),IF(NOT(V24=""),V24+1,""))</f>
        <v>45478</v>
      </c>
      <c r="X24" s="53">
        <f>IF(WEEKDAY(DATE(YEAR(R21),MONTH(R21),DAY(1)),1)=7,DATE(YEAR(R21),MONTH(R21),DAY(1)),DATE(YEAR(W24),MONTH(W24),DAY(W24+1)))</f>
        <v>45479</v>
      </c>
      <c r="Y24" s="55"/>
      <c r="Z24" s="55"/>
      <c r="AA24" s="55"/>
    </row>
    <row r="25" spans="1:27" ht="30" customHeight="1">
      <c r="A25" s="54"/>
      <c r="B25" s="60">
        <f aca="true" t="shared" si="24" ref="B25:G25">IF(B24="","",IF(ISNA(VLOOKUP(B24,$J$70:$L$124,3,FALSE)),"",VLOOKUP(B24,$J$70:$L$124,3,FALSE)))</f>
      </c>
      <c r="C25" s="61">
        <f t="shared" si="24"/>
      </c>
      <c r="D25" s="60">
        <f t="shared" si="24"/>
      </c>
      <c r="E25" s="60">
        <f t="shared" si="24"/>
      </c>
      <c r="F25" s="60">
        <f t="shared" si="24"/>
      </c>
      <c r="G25" s="60" t="str">
        <f t="shared" si="24"/>
        <v>Kenpou kinenbi
(Constitution Memorial Day)</v>
      </c>
      <c r="H25" s="60" t="str">
        <f>IF(ISNA(VLOOKUP(H24,$J$70:$L$124,3,FALSE)),"",VLOOKUP(H24,$J$70:$L$124,3,FALSE))</f>
        <v>Midori no hi
(Nature's Day - declared official holiday unless May 4 fallls on Sunday)</v>
      </c>
      <c r="I25" s="54"/>
      <c r="J25" s="60">
        <f aca="true" t="shared" si="25" ref="J25:O25">IF(J24="","",IF(ISNA(VLOOKUP(J24,$J$70:$L$124,3,FALSE)),"",VLOOKUP(J24,$J$70:$L$124,3,FALSE)))</f>
      </c>
      <c r="K25" s="60">
        <f t="shared" si="25"/>
      </c>
      <c r="L25" s="60">
        <f t="shared" si="25"/>
      </c>
      <c r="M25" s="60">
        <f t="shared" si="25"/>
      </c>
      <c r="N25" s="60">
        <f t="shared" si="25"/>
      </c>
      <c r="O25" s="60">
        <f t="shared" si="25"/>
      </c>
      <c r="P25" s="60">
        <f>IF(ISNA(VLOOKUP(P24,$J$70:$L$124,3,FALSE)),"",VLOOKUP(P24,$J$70:$L$124,3,FALSE))</f>
      </c>
      <c r="Q25" s="54"/>
      <c r="R25" s="60">
        <f aca="true" t="shared" si="26" ref="R25:W25">IF(R24="","",IF(ISNA(VLOOKUP(R24,$J$70:$L$124,3,FALSE)),"",VLOOKUP(R24,$J$70:$L$124,3,FALSE)))</f>
      </c>
      <c r="S25" s="60">
        <f t="shared" si="26"/>
      </c>
      <c r="T25" s="60">
        <f t="shared" si="26"/>
      </c>
      <c r="U25" s="60">
        <f t="shared" si="26"/>
      </c>
      <c r="V25" s="60">
        <f t="shared" si="26"/>
      </c>
      <c r="W25" s="60">
        <f t="shared" si="26"/>
      </c>
      <c r="X25" s="60">
        <f>IF(ISNA(VLOOKUP(X24,$J$70:$L$124,3,FALSE)),"",VLOOKUP(X24,$J$70:$L$124,3,FALSE))</f>
      </c>
      <c r="Y25" s="55"/>
      <c r="Z25" s="55"/>
      <c r="AA25" s="55"/>
    </row>
    <row r="26" spans="1:27" ht="13.5" customHeight="1">
      <c r="A26" s="54"/>
      <c r="B26" s="53">
        <f>DATE(YEAR(H24),MONTH(H24),DAY(H24+1))</f>
        <v>45417</v>
      </c>
      <c r="C26" s="53">
        <f aca="true" t="shared" si="27" ref="C26:H26">DATE(YEAR(B26),MONTH(B26),DAY(B26+1))</f>
        <v>45418</v>
      </c>
      <c r="D26" s="53">
        <f t="shared" si="27"/>
        <v>45419</v>
      </c>
      <c r="E26" s="53">
        <f t="shared" si="27"/>
        <v>45420</v>
      </c>
      <c r="F26" s="53">
        <f t="shared" si="27"/>
        <v>45421</v>
      </c>
      <c r="G26" s="53">
        <f t="shared" si="27"/>
        <v>45422</v>
      </c>
      <c r="H26" s="53">
        <f t="shared" si="27"/>
        <v>45423</v>
      </c>
      <c r="I26" s="54"/>
      <c r="J26" s="53">
        <f>DATE(YEAR(P24),MONTH(P24),DAY(P24+1))</f>
        <v>45445</v>
      </c>
      <c r="K26" s="53">
        <f aca="true" t="shared" si="28" ref="K26:P26">DATE(YEAR(J26),MONTH(J26),DAY(J26+1))</f>
        <v>45446</v>
      </c>
      <c r="L26" s="53">
        <f t="shared" si="28"/>
        <v>45447</v>
      </c>
      <c r="M26" s="53">
        <f t="shared" si="28"/>
        <v>45448</v>
      </c>
      <c r="N26" s="53">
        <f t="shared" si="28"/>
        <v>45449</v>
      </c>
      <c r="O26" s="53">
        <f t="shared" si="28"/>
        <v>45450</v>
      </c>
      <c r="P26" s="53">
        <f t="shared" si="28"/>
        <v>45451</v>
      </c>
      <c r="Q26" s="54"/>
      <c r="R26" s="53">
        <f>DATE(YEAR(X24),MONTH(X24),DAY(X24+1))</f>
        <v>45480</v>
      </c>
      <c r="S26" s="53">
        <f aca="true" t="shared" si="29" ref="S26:X26">DATE(YEAR(R26),MONTH(R26),DAY(R26+1))</f>
        <v>45481</v>
      </c>
      <c r="T26" s="53">
        <f t="shared" si="29"/>
        <v>45482</v>
      </c>
      <c r="U26" s="53">
        <f t="shared" si="29"/>
        <v>45483</v>
      </c>
      <c r="V26" s="53">
        <f t="shared" si="29"/>
        <v>45484</v>
      </c>
      <c r="W26" s="53">
        <f t="shared" si="29"/>
        <v>45485</v>
      </c>
      <c r="X26" s="53">
        <f t="shared" si="29"/>
        <v>45486</v>
      </c>
      <c r="Y26" s="55"/>
      <c r="Z26" s="55"/>
      <c r="AA26" s="55"/>
    </row>
    <row r="27" spans="1:27" ht="30" customHeight="1">
      <c r="A27" s="54"/>
      <c r="B27" s="62">
        <f aca="true" t="shared" si="30" ref="B27:H27">IF(ISNA(VLOOKUP(B26,$J$70:$L$124,3,FALSE)),"",VLOOKUP(B26,$J$70:$L$124,3,FALSE))</f>
      </c>
      <c r="C27" s="62" t="str">
        <f t="shared" si="30"/>
        <v>Kodomo no hi
(Children's Day)</v>
      </c>
      <c r="D27" s="62">
        <f t="shared" si="30"/>
      </c>
      <c r="E27" s="62">
        <f t="shared" si="30"/>
      </c>
      <c r="F27" s="62">
        <f t="shared" si="30"/>
      </c>
      <c r="G27" s="62">
        <f t="shared" si="30"/>
      </c>
      <c r="H27" s="62">
        <f t="shared" si="30"/>
      </c>
      <c r="I27" s="54"/>
      <c r="J27" s="62">
        <f aca="true" t="shared" si="31" ref="J27:P27">IF(ISNA(VLOOKUP(J26,$J$70:$L$124,3,FALSE)),"",VLOOKUP(J26,$J$70:$L$124,3,FALSE))</f>
      </c>
      <c r="K27" s="62">
        <f t="shared" si="31"/>
      </c>
      <c r="L27" s="62">
        <f t="shared" si="31"/>
      </c>
      <c r="M27" s="62">
        <f t="shared" si="31"/>
      </c>
      <c r="N27" s="62">
        <f t="shared" si="31"/>
      </c>
      <c r="O27" s="62">
        <f t="shared" si="31"/>
      </c>
      <c r="P27" s="62">
        <f t="shared" si="31"/>
      </c>
      <c r="Q27" s="54"/>
      <c r="R27" s="62">
        <f aca="true" t="shared" si="32" ref="R27:X27">IF(ISNA(VLOOKUP(R26,$J$70:$L$124,3,FALSE)),"",VLOOKUP(R26,$J$70:$L$124,3,FALSE))</f>
      </c>
      <c r="S27" s="62">
        <f t="shared" si="32"/>
      </c>
      <c r="T27" s="62">
        <f t="shared" si="32"/>
      </c>
      <c r="U27" s="62">
        <f t="shared" si="32"/>
      </c>
      <c r="V27" s="62">
        <f t="shared" si="32"/>
      </c>
      <c r="W27" s="62">
        <f t="shared" si="32"/>
      </c>
      <c r="X27" s="62">
        <f t="shared" si="32"/>
      </c>
      <c r="Y27" s="55"/>
      <c r="Z27" s="55"/>
      <c r="AA27" s="55"/>
    </row>
    <row r="28" spans="1:27" ht="13.5" customHeight="1">
      <c r="A28" s="54"/>
      <c r="B28" s="53">
        <f>DATE(YEAR(H26),MONTH(H26),DAY(H26+1))</f>
        <v>45424</v>
      </c>
      <c r="C28" s="53">
        <f aca="true" t="shared" si="33" ref="C28:H28">DATE(YEAR(B28),MONTH(B28),DAY(B28+1))</f>
        <v>45425</v>
      </c>
      <c r="D28" s="53">
        <f t="shared" si="33"/>
        <v>45426</v>
      </c>
      <c r="E28" s="53">
        <f t="shared" si="33"/>
        <v>45427</v>
      </c>
      <c r="F28" s="53">
        <f t="shared" si="33"/>
        <v>45428</v>
      </c>
      <c r="G28" s="53">
        <f t="shared" si="33"/>
        <v>45429</v>
      </c>
      <c r="H28" s="53">
        <f t="shared" si="33"/>
        <v>45430</v>
      </c>
      <c r="I28" s="54"/>
      <c r="J28" s="53">
        <f>DATE(YEAR(P26),MONTH(P26),DAY(P26+1))</f>
        <v>45452</v>
      </c>
      <c r="K28" s="53">
        <f aca="true" t="shared" si="34" ref="K28:P28">DATE(YEAR(J28),MONTH(J28),DAY(J28+1))</f>
        <v>45453</v>
      </c>
      <c r="L28" s="53">
        <f t="shared" si="34"/>
        <v>45454</v>
      </c>
      <c r="M28" s="53">
        <f t="shared" si="34"/>
        <v>45455</v>
      </c>
      <c r="N28" s="53">
        <f t="shared" si="34"/>
        <v>45456</v>
      </c>
      <c r="O28" s="53">
        <f t="shared" si="34"/>
        <v>45457</v>
      </c>
      <c r="P28" s="53">
        <f t="shared" si="34"/>
        <v>45458</v>
      </c>
      <c r="Q28" s="54"/>
      <c r="R28" s="53">
        <f>DATE(YEAR(X26),MONTH(X26),DAY(X26+1))</f>
        <v>45487</v>
      </c>
      <c r="S28" s="53">
        <f aca="true" t="shared" si="35" ref="S28:X28">DATE(YEAR(R28),MONTH(R28),DAY(R28+1))</f>
        <v>45488</v>
      </c>
      <c r="T28" s="53">
        <f t="shared" si="35"/>
        <v>45489</v>
      </c>
      <c r="U28" s="53">
        <f t="shared" si="35"/>
        <v>45490</v>
      </c>
      <c r="V28" s="53">
        <f t="shared" si="35"/>
        <v>45491</v>
      </c>
      <c r="W28" s="53">
        <f t="shared" si="35"/>
        <v>45492</v>
      </c>
      <c r="X28" s="53">
        <f t="shared" si="35"/>
        <v>45493</v>
      </c>
      <c r="Y28" s="55"/>
      <c r="Z28" s="55"/>
      <c r="AA28" s="55"/>
    </row>
    <row r="29" spans="1:27" ht="30" customHeight="1">
      <c r="A29" s="54"/>
      <c r="B29" s="62">
        <f aca="true" t="shared" si="36" ref="B29:H29">IF(ISNA(VLOOKUP(B28,$J$70:$L$124,3,FALSE)),"",VLOOKUP(B28,$J$70:$L$124,3,FALSE))</f>
      </c>
      <c r="C29" s="62">
        <f t="shared" si="36"/>
      </c>
      <c r="D29" s="62">
        <f t="shared" si="36"/>
      </c>
      <c r="E29" s="62">
        <f t="shared" si="36"/>
      </c>
      <c r="F29" s="62">
        <f t="shared" si="36"/>
      </c>
      <c r="G29" s="62">
        <f t="shared" si="36"/>
      </c>
      <c r="H29" s="62">
        <f t="shared" si="36"/>
      </c>
      <c r="I29" s="54"/>
      <c r="J29" s="62">
        <f aca="true" t="shared" si="37" ref="J29:P29">IF(ISNA(VLOOKUP(J28,$J$70:$L$124,3,FALSE)),"",VLOOKUP(J28,$J$70:$L$124,3,FALSE))</f>
      </c>
      <c r="K29" s="62">
        <f t="shared" si="37"/>
      </c>
      <c r="L29" s="62">
        <f t="shared" si="37"/>
      </c>
      <c r="M29" s="62">
        <f t="shared" si="37"/>
      </c>
      <c r="N29" s="62">
        <f t="shared" si="37"/>
      </c>
      <c r="O29" s="62">
        <f t="shared" si="37"/>
      </c>
      <c r="P29" s="62">
        <f t="shared" si="37"/>
      </c>
      <c r="Q29" s="54"/>
      <c r="R29" s="62">
        <f aca="true" t="shared" si="38" ref="R29:X29">IF(ISNA(VLOOKUP(R28,$J$70:$L$124,3,FALSE)),"",VLOOKUP(R28,$J$70:$L$124,3,FALSE))</f>
      </c>
      <c r="S29" s="62" t="str">
        <f t="shared" si="38"/>
        <v>Umi no hi
(Sea Day)</v>
      </c>
      <c r="T29" s="62">
        <f t="shared" si="38"/>
      </c>
      <c r="U29" s="62">
        <f t="shared" si="38"/>
      </c>
      <c r="V29" s="62">
        <f t="shared" si="38"/>
      </c>
      <c r="W29" s="62">
        <f t="shared" si="38"/>
      </c>
      <c r="X29" s="62">
        <f t="shared" si="38"/>
      </c>
      <c r="Y29" s="55"/>
      <c r="Z29" s="55"/>
      <c r="AA29" s="55"/>
    </row>
    <row r="30" spans="1:27" ht="13.5" customHeight="1">
      <c r="A30" s="54"/>
      <c r="B30" s="53">
        <f>DATE(YEAR(H28),MONTH(H28),DAY(H28+1))</f>
        <v>45431</v>
      </c>
      <c r="C30" s="53">
        <f aca="true" t="shared" si="39" ref="C30:H30">DATE(YEAR(B30),MONTH(B30),DAY(B30+1))</f>
        <v>45432</v>
      </c>
      <c r="D30" s="53">
        <f t="shared" si="39"/>
        <v>45433</v>
      </c>
      <c r="E30" s="53">
        <f t="shared" si="39"/>
        <v>45434</v>
      </c>
      <c r="F30" s="53">
        <f t="shared" si="39"/>
        <v>45435</v>
      </c>
      <c r="G30" s="53">
        <f t="shared" si="39"/>
        <v>45436</v>
      </c>
      <c r="H30" s="53">
        <f t="shared" si="39"/>
        <v>45437</v>
      </c>
      <c r="I30" s="54"/>
      <c r="J30" s="53">
        <f>DATE(YEAR(P28),MONTH(P28),DAY(P28+1))</f>
        <v>45459</v>
      </c>
      <c r="K30" s="53">
        <f aca="true" t="shared" si="40" ref="K30:P30">DATE(YEAR(J30),MONTH(J30),DAY(J30+1))</f>
        <v>45460</v>
      </c>
      <c r="L30" s="53">
        <f t="shared" si="40"/>
        <v>45461</v>
      </c>
      <c r="M30" s="53">
        <f t="shared" si="40"/>
        <v>45462</v>
      </c>
      <c r="N30" s="53">
        <f t="shared" si="40"/>
        <v>45463</v>
      </c>
      <c r="O30" s="53">
        <f t="shared" si="40"/>
        <v>45464</v>
      </c>
      <c r="P30" s="53">
        <f t="shared" si="40"/>
        <v>45465</v>
      </c>
      <c r="Q30" s="54"/>
      <c r="R30" s="53">
        <f>DATE(YEAR(X28),MONTH(X28),DAY(X28+1))</f>
        <v>45494</v>
      </c>
      <c r="S30" s="53">
        <f aca="true" t="shared" si="41" ref="S30:X30">DATE(YEAR(R30),MONTH(R30),DAY(R30+1))</f>
        <v>45495</v>
      </c>
      <c r="T30" s="53">
        <f t="shared" si="41"/>
        <v>45496</v>
      </c>
      <c r="U30" s="53">
        <f t="shared" si="41"/>
        <v>45497</v>
      </c>
      <c r="V30" s="53">
        <f t="shared" si="41"/>
        <v>45498</v>
      </c>
      <c r="W30" s="53">
        <f t="shared" si="41"/>
        <v>45499</v>
      </c>
      <c r="X30" s="53">
        <f t="shared" si="41"/>
        <v>45500</v>
      </c>
      <c r="Y30" s="55"/>
      <c r="Z30" s="55"/>
      <c r="AA30" s="55"/>
    </row>
    <row r="31" spans="1:27" ht="30" customHeight="1">
      <c r="A31" s="54"/>
      <c r="B31" s="62">
        <f aca="true" t="shared" si="42" ref="B31:H31">IF(ISNA(VLOOKUP(B30,$J$70:$L$124,3,FALSE)),"",VLOOKUP(B30,$J$70:$L$124,3,FALSE))</f>
      </c>
      <c r="C31" s="62">
        <f t="shared" si="42"/>
      </c>
      <c r="D31" s="62">
        <f t="shared" si="42"/>
      </c>
      <c r="E31" s="62">
        <f t="shared" si="42"/>
      </c>
      <c r="F31" s="62">
        <f t="shared" si="42"/>
      </c>
      <c r="G31" s="62">
        <f t="shared" si="42"/>
      </c>
      <c r="H31" s="62">
        <f t="shared" si="42"/>
      </c>
      <c r="I31" s="54"/>
      <c r="J31" s="62">
        <f aca="true" t="shared" si="43" ref="J31:P31">IF(ISNA(VLOOKUP(J30,$J$70:$L$124,3,FALSE)),"",VLOOKUP(J30,$J$70:$L$124,3,FALSE))</f>
      </c>
      <c r="K31" s="62">
        <f t="shared" si="43"/>
      </c>
      <c r="L31" s="62">
        <f t="shared" si="43"/>
      </c>
      <c r="M31" s="62">
        <f t="shared" si="43"/>
      </c>
      <c r="N31" s="62">
        <f t="shared" si="43"/>
      </c>
      <c r="O31" s="62">
        <f t="shared" si="43"/>
      </c>
      <c r="P31" s="62">
        <f t="shared" si="43"/>
      </c>
      <c r="Q31" s="54"/>
      <c r="R31" s="62">
        <f aca="true" t="shared" si="44" ref="R31:X31">IF(ISNA(VLOOKUP(R30,$J$70:$L$124,3,FALSE)),"",VLOOKUP(R30,$J$70:$L$124,3,FALSE))</f>
      </c>
      <c r="S31" s="62">
        <f t="shared" si="44"/>
      </c>
      <c r="T31" s="62">
        <f t="shared" si="44"/>
      </c>
      <c r="U31" s="62">
        <f t="shared" si="44"/>
      </c>
      <c r="V31" s="62">
        <f t="shared" si="44"/>
      </c>
      <c r="W31" s="62">
        <f t="shared" si="44"/>
      </c>
      <c r="X31" s="62">
        <f t="shared" si="44"/>
      </c>
      <c r="Y31" s="55"/>
      <c r="Z31" s="55"/>
      <c r="AA31" s="55"/>
    </row>
    <row r="32" spans="1:27" ht="13.5" customHeight="1">
      <c r="A32" s="54"/>
      <c r="B32" s="53">
        <f>IF(DAY(H24+22)=1,"",DATE(YEAR(H24),MONTH(H24),DAY(H24+22)))</f>
        <v>45438</v>
      </c>
      <c r="C32" s="53">
        <f>IF(OR(DAY(H24+22)=1,DAY(H24+23)=1),"",IF(OR(NOT(MONTH(B21)=2),AND(MONTH(B21)=2,OR(MOD(YEAR(B21),400)=0,AND(MOD(YEAR(B21),4)=0,MOD(YEAR(B21),100)&lt;&gt;0)))),DATE(YEAR(B32),MONTH(B32),DAY(B32+1)),IF(AND(MONTH(B21)=2,OR(C24="",D24="")),DATE(YEAR(B32),MONTH(B32),DAY(B32+1)),"")))</f>
        <v>45439</v>
      </c>
      <c r="D32" s="53">
        <f>IF(OR(DAY(H24+22)=1,DAY(H24+23)=1,DAY(H24+24)=1),"",IF(OR(NOT(MONTH(B21)=2),AND(MONTH(B21)=2,OR(MOD(YEAR(B21),400)=0,AND(MOD(YEAR(B21),4)=0,MOD(YEAR(B21),100)&lt;&gt;0)))),DATE(YEAR(C32),MONTH(C32),DAY(C32+1)),IF(AND(MONTH(B21)=2,OR(C24="",D24="")),DATE(YEAR(C32),MONTH(C32),DAY(C32+1)),"")))</f>
        <v>45440</v>
      </c>
      <c r="E32" s="53">
        <f>IF(OR(DAY(H24+22)=1,DAY(H24+23)=1,DAY(H24+24)=1,DAY(H24+25)=1),"",IF(OR(NOT(MONTH(B21)=2),AND(MONTH(B21)=2,OR(MOD(YEAR(B21),400)=0,AND(MOD(YEAR(B21),4)=0,MOD(YEAR(B21),100)&lt;&gt;0)))),DATE(YEAR(D32),MONTH(D32),DAY(D32+1)),IF(AND(MONTH(B21)=2,OR(C24="",D24="")),DATE(YEAR(D32),MONTH(D32),DAY(D32+1)),"")))</f>
        <v>45441</v>
      </c>
      <c r="F32" s="53">
        <f>IF(OR(DAY(H24+22)=1,DAY(H24+23)=1,DAY(H24+24)=1,DAY(H24+25)=1,DAY(H24+26)=1),"",IF(OR(NOT(MONTH(B21)=2),AND(MONTH(B21)=2,OR(MOD(YEAR(B21),400)=0,AND(MOD(YEAR(B21),4)=0,MOD(YEAR(B21),100)&lt;&gt;0)))),DATE(YEAR(E32),MONTH(E32),DAY(E32+1)),IF(AND(MONTH(B21)=2,OR(C24="",D24="")),DATE(YEAR(E32),MONTH(E32),DAY(E32+1)),"")))</f>
        <v>45442</v>
      </c>
      <c r="G32" s="53">
        <f>IF(OR(DAY(H24+22)=1,DAY(H24+23)=1,DAY(H24+24)=1,DAY(H24+25)=1,DAY(H24+26)=1,DAY(H24+27)=1),"",IF(OR(NOT(MONTH(B21)=2),AND(MONTH(B21)=2,OR(MOD(YEAR(B21),400)=0,AND(MOD(YEAR(B21),4)=0,MOD(YEAR(B21),100)&lt;&gt;0)))),DATE(YEAR(F32),MONTH(F32),DAY(F32+1)),IF(AND(MONTH(B21)=2,OR(C24="",D24="")),DATE(YEAR(F32),MONTH(F32),DAY(F32+1)),"")))</f>
        <v>45443</v>
      </c>
      <c r="H32" s="53">
        <f>IF(OR(DAY(H24+22)=1,DAY(H24+23)=1,DAY(H24+24)=1,DAY(H24+25)=1,DAY(H24+26)=1,DAY(H24+27)=1,DAY(H24+28)=1),"",IF(OR(NOT(MONTH(B21)=2),AND(MONTH(B21)=2,OR(MOD(YEAR(B21),400)=0,AND(MOD(YEAR(B21),4)=0,MOD(YEAR(B21),100)&lt;&gt;0)))),DATE(YEAR(G32),MONTH(G32),DAY(G32+1)),IF(AND(MONTH(B21)=2,OR(C24="",D24="")),DATE(YEAR(G32),MONTH(G32),DAY(G32+1)),"")))</f>
      </c>
      <c r="I32" s="54"/>
      <c r="J32" s="53">
        <f>IF(DAY(P24+22)=1,"",DATE(YEAR(P24),MONTH(P24),DAY(P24+22)))</f>
        <v>45466</v>
      </c>
      <c r="K32" s="53">
        <f>IF(OR(DAY(H24+22)=1,DAY(P24+23)=1),"",IF(OR(NOT(MONTH(J21)=2),AND(MONTH(J21)=2,OR(MOD(YEAR(J21),400)=0,AND(MOD(YEAR(J21),4)=0,MOD(YEAR(J21),100)&lt;&gt;0)))),DATE(YEAR(J32),MONTH(J32),DAY(J32+1)),IF(AND(MONTH(J21)=2,OR(K24="",L24="")),DATE(YEAR(J32),MONTH(J32),DAY(J32+1)),"")))</f>
        <v>45467</v>
      </c>
      <c r="L32" s="53">
        <f>IF(OR(DAY(H24+22)=1,DAY(P24+23)=1,DAY(P24+24)=1),"",IF(OR(NOT(MONTH(J21)=2),AND(MONTH(J21)=2,OR(MOD(YEAR(J21),400)=0,AND(MOD(YEAR(J21),4)=0,MOD(YEAR(J21),100)&lt;&gt;0)))),DATE(YEAR(K32),MONTH(K32),DAY(K32+1)),IF(AND(MONTH(J21)=2,OR(K24="",L24="")),DATE(YEAR(K32),MONTH(K32),DAY(K32+1)),"")))</f>
        <v>45468</v>
      </c>
      <c r="M32" s="53">
        <f>IF(OR(DAY(H24+22)=1,DAY(P24+23)=1,DAY(P24+24)=1,DAY(P24+25)=1),"",IF(OR(NOT(MONTH(J21)=2),AND(MONTH(J21)=2,OR(MOD(YEAR(J21),400)=0,AND(MOD(YEAR(J21),4)=0,MOD(YEAR(J21),100)&lt;&gt;0)))),DATE(YEAR(L32),MONTH(L32),DAY(L32+1)),IF(AND(MONTH(J21)=2,OR(K24="",L24="")),DATE(YEAR(L32),MONTH(L32),DAY(L32+1)),"")))</f>
        <v>45469</v>
      </c>
      <c r="N32" s="53">
        <f>IF(OR(DAY(H24+22)=1,DAY(P24+23)=1,DAY(P24+24)=1,DAY(P24+25)=1,DAY(P24+26)=1),"",IF(OR(NOT(MONTH(J21)=2),AND(MONTH(J21)=2,OR(MOD(YEAR(J21),400)=0,AND(MOD(YEAR(J21),4)=0,MOD(YEAR(J21),100)&lt;&gt;0)))),DATE(YEAR(M32),MONTH(M32),DAY(M32+1)),IF(AND(MONTH(J21)=2,OR(K24="",L24="")),DATE(YEAR(M32),MONTH(M32),DAY(M32+1)),"")))</f>
        <v>45470</v>
      </c>
      <c r="O32" s="53">
        <f>IF(OR(DAY(H24+22)=1,DAY(P24+23)=1,DAY(P24+24)=1,DAY(P24+25)=1,DAY(P24+26)=1,DAY(P24+27)=1),"",IF(OR(NOT(MONTH(J21)=2),AND(MONTH(J21)=2,OR(MOD(YEAR(J21),400)=0,AND(MOD(YEAR(J21),4)=0,MOD(YEAR(J21),100)&lt;&gt;0)))),DATE(YEAR(N32),MONTH(N32),DAY(N32+1)),IF(AND(MONTH(J21)=2,OR(K24="",L24="")),DATE(YEAR(N32),MONTH(N32),DAY(N32+1)),"")))</f>
        <v>45471</v>
      </c>
      <c r="P32" s="53">
        <f>IF(OR(DAY(H24+22)=1,DAY(P24+23)=1,DAY(P24+24)=1,DAY(P24+25)=1,DAY(P24+26)=1,DAY(P24+27)=1,DAY(P24+28)=1),"",IF(OR(NOT(MONTH(J21)=2),AND(MONTH(J21)=2,OR(MOD(YEAR(J21),400)=0,AND(MOD(YEAR(J21),4)=0,MOD(YEAR(J21),100)&lt;&gt;0)))),DATE(YEAR(O32),MONTH(O32),DAY(O32+1)),IF(AND(MONTH(J21)=2,OR(K24="",L24="")),DATE(YEAR(O32),MONTH(O32),DAY(O32+1)),"")))</f>
        <v>45472</v>
      </c>
      <c r="Q32" s="54"/>
      <c r="R32" s="53">
        <f>IF(DAY(X24+22)=1,"",DATE(YEAR(X24),MONTH(X24),DAY(X24+22)))</f>
        <v>45501</v>
      </c>
      <c r="S32" s="53">
        <f>IF(OR(DAY(X24+22)=1,DAY(X24+23)=1),"",IF(OR(NOT(MONTH(R21)=2),AND(MONTH(R21)=2,OR(MOD(YEAR(R21),400)=0,AND(MOD(YEAR(R21),4)=0,MOD(YEAR(R21),100)&lt;&gt;0)))),DATE(YEAR(R32),MONTH(R32),DAY(R32+1)),IF(AND(MONTH(R21)=2,OR(S24="",T24="")),DATE(YEAR(R32),MONTH(R32),DAY(R32+1)),"")))</f>
        <v>45502</v>
      </c>
      <c r="T32" s="53">
        <f>IF(OR(DAY(X24+22)=1,DAY(X24+23)=1,DAY(X24+24)=1),"",IF(OR(NOT(MONTH(R21)=2),AND(MONTH(R21)=2,OR(MOD(YEAR(R21),400)=0,AND(MOD(YEAR(R21),4)=0,MOD(YEAR(R21),100)&lt;&gt;0)))),DATE(YEAR(S32),MONTH(S32),DAY(S32+1)),IF(AND(MONTH(R21)=2,OR(S24="",T24="")),DATE(YEAR(S32),MONTH(S32),DAY(S32+1)),"")))</f>
        <v>45503</v>
      </c>
      <c r="U32" s="53">
        <f>IF(OR(DAY(X24+22)=1,DAY(X24+23)=1,DAY(X24+24)=1,DAY(X24+25)=1),"",IF(OR(NOT(MONTH(R21)=2),AND(MONTH(R21)=2,OR(MOD(YEAR(R21),400)=0,AND(MOD(YEAR(R21),4)=0,MOD(YEAR(R21),100)&lt;&gt;0)))),DATE(YEAR(T32),MONTH(T32),DAY(T32+1)),IF(AND(MONTH(R21)=2,OR(S24="",T24="")),DATE(YEAR(T32),MONTH(T32),DAY(T32+1)),"")))</f>
        <v>45504</v>
      </c>
      <c r="V32" s="53">
        <f>IF(OR(DAY(X24+22)=1,DAY(X24+23)=1,DAY(X24+24)=1,DAY(X24+25)=1,DAY(X24+26)=1),"",IF(OR(NOT(MONTH(R21)=2),AND(MONTH(R21)=2,OR(MOD(YEAR(R21),400)=0,AND(MOD(YEAR(R21),4)=0,MOD(YEAR(R21),100)&lt;&gt;0)))),DATE(YEAR(U32),MONTH(U32),DAY(U32+1)),IF(AND(MONTH(R21)=2,OR(S24="",T24="")),DATE(YEAR(U32),MONTH(U32),DAY(U32+1)),"")))</f>
      </c>
      <c r="W32" s="53">
        <f>IF(OR(DAY(X24+22)=1,DAY(X24+23)=1,DAY(X24+24)=1,DAY(X24+25)=1,DAY(X24+26)=1,DAY(X24+27)=1),"",IF(OR(NOT(MONTH(R21)=2),AND(MONTH(R21)=2,OR(MOD(YEAR(R21),400)=0,AND(MOD(YEAR(R21),4)=0,MOD(YEAR(R21),100)&lt;&gt;0)))),DATE(YEAR(V32),MONTH(V32),DAY(V32+1)),IF(AND(MONTH(R21)=2,OR(S24="",T24="")),DATE(YEAR(V32),MONTH(V32),DAY(V32+1)),"")))</f>
      </c>
      <c r="X32" s="53">
        <f>IF(OR(DAY(X24+22)=1,DAY(X24+23)=1,DAY(X24+24)=1,DAY(X24+25)=1,DAY(X24+26)=1,DAY(X24+27)=1,DAY(X24+28)=1),"",IF(OR(NOT(MONTH(R21)=2),AND(MONTH(R21)=2,OR(MOD(YEAR(R21),400)=0,AND(MOD(YEAR(R21),4)=0,MOD(YEAR(R21),100)&lt;&gt;0)))),DATE(YEAR(W32),MONTH(W32),DAY(W32+1)),IF(AND(MONTH(R21)=2,OR(S24="",T24="")),DATE(YEAR(W32),MONTH(W32),DAY(W32+1)),"")))</f>
      </c>
      <c r="Y32" s="55"/>
      <c r="Z32" s="55"/>
      <c r="AA32" s="55"/>
    </row>
    <row r="33" spans="1:27" ht="30" customHeight="1">
      <c r="A33" s="54"/>
      <c r="B33" s="56">
        <f aca="true" t="shared" si="45" ref="B33:H33">IF(ISNA(VLOOKUP(B32,$J$70:$L$124,3,FALSE)),"",VLOOKUP(B32,$J$70:$L$124,3,FALSE))</f>
      </c>
      <c r="C33" s="56">
        <f t="shared" si="45"/>
      </c>
      <c r="D33" s="56">
        <f t="shared" si="45"/>
      </c>
      <c r="E33" s="56">
        <f t="shared" si="45"/>
      </c>
      <c r="F33" s="56">
        <f t="shared" si="45"/>
      </c>
      <c r="G33" s="56">
        <f t="shared" si="45"/>
      </c>
      <c r="H33" s="56" t="str">
        <f t="shared" si="45"/>
        <v>Kokumin no kyujitsu
(Citizen's Holiday)</v>
      </c>
      <c r="I33" s="54"/>
      <c r="J33" s="56">
        <f aca="true" t="shared" si="46" ref="J33:P33">IF(ISNA(VLOOKUP(J32,$J$70:$L$124,3,FALSE)),"",VLOOKUP(J32,$J$70:$L$124,3,FALSE))</f>
      </c>
      <c r="K33" s="56">
        <f t="shared" si="46"/>
      </c>
      <c r="L33" s="56">
        <f t="shared" si="46"/>
      </c>
      <c r="M33" s="56">
        <f t="shared" si="46"/>
      </c>
      <c r="N33" s="56">
        <f t="shared" si="46"/>
      </c>
      <c r="O33" s="56">
        <f t="shared" si="46"/>
      </c>
      <c r="P33" s="56">
        <f t="shared" si="46"/>
      </c>
      <c r="Q33" s="54"/>
      <c r="R33" s="56">
        <f aca="true" t="shared" si="47" ref="R33:X33">IF(ISNA(VLOOKUP(R32,$J$70:$L$124,3,FALSE)),"",VLOOKUP(R32,$J$70:$L$124,3,FALSE))</f>
      </c>
      <c r="S33" s="56">
        <f t="shared" si="47"/>
      </c>
      <c r="T33" s="56">
        <f t="shared" si="47"/>
      </c>
      <c r="U33" s="56">
        <f t="shared" si="47"/>
      </c>
      <c r="V33" s="56" t="str">
        <f t="shared" si="47"/>
        <v>Kokumin no kyujitsu
(Citizen's Holiday)</v>
      </c>
      <c r="W33" s="56" t="str">
        <f t="shared" si="47"/>
        <v>Kokumin no kyujitsu
(Citizen's Holiday)</v>
      </c>
      <c r="X33" s="56" t="str">
        <f t="shared" si="47"/>
        <v>Kokumin no kyujitsu
(Citizen's Holiday)</v>
      </c>
      <c r="Y33" s="55"/>
      <c r="Z33" s="55"/>
      <c r="AA33" s="55"/>
    </row>
    <row r="34" spans="1:27" ht="13.5" customHeight="1">
      <c r="A34" s="54"/>
      <c r="B34" s="53">
        <f>IF(OR(DAY(H24+24)=1,DAY(H24+25)=1,DAY(H24+26)=1,DAY(H24+27)=1,DAY(H24+28)=1,DAY(H24+29)=1),"",IF(MONTH(B21)=2,"",DATE(YEAR(H32),MONTH(H32),DAY(H32+1))))</f>
      </c>
      <c r="C34" s="53">
        <f>IF(OR(DAY(H24+24)=1,DAY(H24+25)=1,DAY(H24+26)=1,DAY(H24+27)=1,DAY(H24+28)=1,DAY(H24+29)=1,DAY(H24+30)=1),"",IF(OR(MONTH(B21)=2,MONTH(B21)=4,MONTH(B21)=6,MONTH(B21)=9,MONTH(B21)=11),"",DATE(YEAR(B34),MONTH(B34),DAY(B34+1))))</f>
      </c>
      <c r="I34" s="54"/>
      <c r="J34" s="53">
        <f>IF(OR(DAY(P24+22)=1,DAY(P24+23)=1,DAY(P24+24)=1,DAY(P24+25)=1,DAY(P24+26)=1,DAY(P24+27)=1,DAY(P24+28)=1,DAY(P24+29)=1),"",IF(MONTH(J21)=2,"",DATE(YEAR(P32),MONTH(P32),DAY(P32+1))))</f>
        <v>45473</v>
      </c>
      <c r="K34" s="53">
        <f>IF(OR(DAY(P24+22)=1,DAY(P24+23)=1,DAY(P24+24)=1,DAY(P24+25)=1,DAY(P24+26)=1,DAY(P24+27)=1,DAY(P24+28)=1,DAY(P24+29)=1,DAY(P24+30)=1),"",IF(OR(MONTH(J21)=2,MONTH(J21)=4,MONTH(J21)=6,MONTH(J21)=9,MONTH(J21)=11),"",DATE(YEAR(J34),MONTH(J34),DAY(J34+1))))</f>
      </c>
      <c r="Q34" s="54"/>
      <c r="R34" s="53">
        <f>IF(OR(DAY(X24+22)=1,DAY(X24+23)=1,DAY(X24+24)=1,DAY(X24+25)=1,DAY(X24+26)=1,DAY(X24+27)=1,DAY(X24+28)=1,DAY(X24+29)=1),"",IF(MONTH(R21)=2,"",DATE(YEAR(X32),MONTH(X32),DAY(X32+1))))</f>
      </c>
      <c r="S34" s="53">
        <f>IF(OR(DAY(X24+22)=1,DAY(X24+23)=1,DAY(X24+24)=1,DAY(X24+25)=1,DAY(X24+26)=1,DAY(X24+27)=1,DAY(X24+28)=1,DAY(X24+29)=1,DAY(X24+30)=1),"",IF(OR(MONTH(R21)=2,MONTH(R21)=4,MONTH(R21)=6,MONTH(R21)=9,MONTH(R21)=11),"",DATE(YEAR(R34),MONTH(R34),DAY(R34+1))))</f>
      </c>
      <c r="Y34" s="55"/>
      <c r="Z34" s="55"/>
      <c r="AA34" s="55"/>
    </row>
    <row r="35" spans="1:27" ht="30" customHeight="1">
      <c r="A35" s="54"/>
      <c r="B35" s="56">
        <f>IF(B34="","",IF(ISNA(VLOOKUP(B34,$J$70:$L$124,3,FALSE)),"",VLOOKUP(B34,$J$70:$L$124,3,FALSE)))</f>
      </c>
      <c r="C35" s="56">
        <f>IF(C34="","",IF(ISNA(VLOOKUP(C34,$J$70:$L$124,3,FALSE)),"",VLOOKUP(C34,$J$70:$L$124,3,FALSE)))</f>
      </c>
      <c r="I35" s="54"/>
      <c r="J35" s="56">
        <f>IF(J34="","",IF(ISNA(VLOOKUP(J34,$J$70:$L$124,3,FALSE)),"",VLOOKUP(J34,$J$70:$L$124,3,FALSE)))</f>
      </c>
      <c r="K35" s="56">
        <f>IF(K34="","",IF(ISNA(VLOOKUP(K34,$J$70:$L$124,3,FALSE)),"",VLOOKUP(K34,$J$70:$L$124,3,FALSE)))</f>
      </c>
      <c r="Q35" s="54"/>
      <c r="R35" s="56"/>
      <c r="S35" s="56"/>
      <c r="Y35" s="55"/>
      <c r="Z35" s="55"/>
      <c r="AA35" s="55"/>
    </row>
    <row r="36" spans="1:27" ht="9" customHeight="1">
      <c r="A36" s="47"/>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1:27" ht="13.5" customHeight="1">
      <c r="A37" s="46"/>
      <c r="B37" s="213">
        <f>IF(MONTH(R21)=12,TEXT(DATE(YEAR(R21)+1,1,1),"mmmm yyyy"),DATE(YEAR(R21),MONTH(R21)+1,1))</f>
        <v>45505</v>
      </c>
      <c r="C37" s="213"/>
      <c r="D37" s="213"/>
      <c r="E37" s="46"/>
      <c r="I37" s="90">
        <f>DATE(YEAR(Y21),MONTH(Y21)+1,1)</f>
        <v>45505</v>
      </c>
      <c r="J37" s="213">
        <f>IF(MONTH(I37)=12,TEXT(DATE(YEAR(I37)+1,1,1),"mmmm yyyy"),DATE(YEAR(I37),MONTH(I37)+1,1))</f>
        <v>45536</v>
      </c>
      <c r="K37" s="213"/>
      <c r="L37" s="213"/>
      <c r="M37" s="46"/>
      <c r="Q37" s="90">
        <f>DATE(YEAR(I37),MONTH(I37)+1,1)</f>
        <v>45536</v>
      </c>
      <c r="R37" s="213">
        <f>IF(MONTH(Q37)=12,TEXT(DATE(YEAR(Q37)+1,1,1),"mmmm yyyy"),DATE(YEAR(Q37),MONTH(Q37)+1,1))</f>
        <v>45566</v>
      </c>
      <c r="S37" s="213"/>
      <c r="T37" s="213"/>
      <c r="U37" s="46"/>
      <c r="Y37" s="90">
        <f>DATE(YEAR(Q37),MONTH(Q37)+1,1)</f>
        <v>45566</v>
      </c>
      <c r="Z37" s="46"/>
      <c r="AA37" s="46"/>
    </row>
    <row r="38" spans="1:27" ht="6" customHeight="1">
      <c r="A38" s="47"/>
      <c r="B38" s="48"/>
      <c r="C38" s="46"/>
      <c r="D38" s="46"/>
      <c r="E38" s="46"/>
      <c r="F38" s="46"/>
      <c r="G38" s="46"/>
      <c r="H38" s="46"/>
      <c r="I38" s="46"/>
      <c r="J38" s="48"/>
      <c r="K38" s="46"/>
      <c r="L38" s="46"/>
      <c r="M38" s="46"/>
      <c r="N38" s="46"/>
      <c r="O38" s="46"/>
      <c r="P38" s="46"/>
      <c r="Q38" s="46"/>
      <c r="R38" s="48"/>
      <c r="S38" s="46"/>
      <c r="T38" s="46"/>
      <c r="U38" s="46"/>
      <c r="V38" s="46"/>
      <c r="W38" s="46"/>
      <c r="X38" s="46"/>
      <c r="Y38" s="46"/>
      <c r="Z38" s="46"/>
      <c r="AA38" s="46"/>
    </row>
    <row r="39" spans="1:27" ht="13.5" customHeight="1">
      <c r="A39" s="47"/>
      <c r="B39" s="49" t="s">
        <v>61</v>
      </c>
      <c r="C39" s="50" t="s">
        <v>62</v>
      </c>
      <c r="D39" s="50" t="s">
        <v>63</v>
      </c>
      <c r="E39" s="50" t="s">
        <v>64</v>
      </c>
      <c r="F39" s="50" t="s">
        <v>65</v>
      </c>
      <c r="G39" s="50" t="s">
        <v>66</v>
      </c>
      <c r="H39" s="49" t="s">
        <v>67</v>
      </c>
      <c r="I39" s="51"/>
      <c r="J39" s="49" t="s">
        <v>61</v>
      </c>
      <c r="K39" s="50" t="s">
        <v>62</v>
      </c>
      <c r="L39" s="50" t="s">
        <v>63</v>
      </c>
      <c r="M39" s="50" t="s">
        <v>64</v>
      </c>
      <c r="N39" s="50" t="s">
        <v>65</v>
      </c>
      <c r="O39" s="50" t="s">
        <v>66</v>
      </c>
      <c r="P39" s="49" t="s">
        <v>67</v>
      </c>
      <c r="Q39" s="51"/>
      <c r="R39" s="49" t="s">
        <v>61</v>
      </c>
      <c r="S39" s="50" t="s">
        <v>62</v>
      </c>
      <c r="T39" s="50" t="s">
        <v>63</v>
      </c>
      <c r="U39" s="50" t="s">
        <v>64</v>
      </c>
      <c r="V39" s="50" t="s">
        <v>65</v>
      </c>
      <c r="W39" s="50" t="s">
        <v>66</v>
      </c>
      <c r="X39" s="49" t="s">
        <v>67</v>
      </c>
      <c r="Y39" s="51"/>
      <c r="Z39" s="51"/>
      <c r="AA39" s="51"/>
    </row>
    <row r="40" spans="1:27" ht="13.5" customHeight="1">
      <c r="A40" s="54"/>
      <c r="B40" s="53">
        <f>IF(WEEKDAY(DATE(YEAR(I37),MONTH(I37),DAY(1)),1)=1,DATE(YEAR(I37),MONTH(I37),DAY(1)),"")</f>
      </c>
      <c r="C40" s="53">
        <f>IF(WEEKDAY(DATE(YEAR(I37),MONTH(I37),DAY(1)),1)=2,DATE(YEAR(I37),MONTH(I37),DAY(1)),IF(NOT(B40=""),B40+1,""))</f>
      </c>
      <c r="D40" s="53">
        <f>IF(WEEKDAY(DATE(YEAR(I37),MONTH(I37),DAY(1)),1)=3,DATE(YEAR(I37),MONTH(I37),DAY(1)),IF(NOT(C40=""),C40+1,""))</f>
      </c>
      <c r="E40" s="53">
        <f>IF(WEEKDAY(DATE(YEAR(I37),MONTH(I37),DAY(1)),1)=4,DATE(YEAR(I37),MONTH(I37),DAY(1)),IF(NOT(D40=""),D40+1,""))</f>
      </c>
      <c r="F40" s="53">
        <f>IF(WEEKDAY(DATE(YEAR(I37),MONTH(I37),DAY(1)),1)=5,DATE(YEAR(I37),MONTH(I37),DAY(1)),IF(NOT(E40=""),E40+1,""))</f>
        <v>45505</v>
      </c>
      <c r="G40" s="53">
        <f>IF(WEEKDAY(DATE(YEAR(I37),MONTH(I37),DAY(1)),1)=6,DATE(YEAR(I37),MONTH(I37),DAY(1)),IF(NOT(F40=""),F40+1,""))</f>
        <v>45506</v>
      </c>
      <c r="H40" s="53">
        <f>IF(WEEKDAY(DATE(YEAR(I37),MONTH(I37),DAY(1)),1)=7,DATE(YEAR(I37),MONTH(I37),DAY(1)),DATE(YEAR(G40),MONTH(G40),DAY(G40+1)))</f>
        <v>45507</v>
      </c>
      <c r="I40" s="54"/>
      <c r="J40" s="53">
        <f>IF(WEEKDAY(DATE(YEAR(Q37),MONTH(Q37),DAY(1)),1)=1,DATE(YEAR(Q37),MONTH(Q37),DAY(1)),"")</f>
        <v>45536</v>
      </c>
      <c r="K40" s="53">
        <f>IF(WEEKDAY(DATE(YEAR(Q37),MONTH(Q37),DAY(1)),1)=2,DATE(YEAR(Q37),MONTH(Q37),DAY(1)),IF(NOT(J40=""),J40+1,""))</f>
        <v>45537</v>
      </c>
      <c r="L40" s="53">
        <f>IF(WEEKDAY(DATE(YEAR(Q37),MONTH(Q37),DAY(1)),1)=3,DATE(YEAR(Q37),MONTH(Q37),DAY(1)),IF(NOT(K40=""),K40+1,""))</f>
        <v>45538</v>
      </c>
      <c r="M40" s="53">
        <f>IF(WEEKDAY(DATE(YEAR(Q37),MONTH(Q37),DAY(1)),1)=4,DATE(YEAR(Q37),MONTH(Q37),DAY(1)),IF(NOT(L40=""),L40+1,""))</f>
        <v>45539</v>
      </c>
      <c r="N40" s="53">
        <f>IF(WEEKDAY(DATE(YEAR(Q37),MONTH(Q37),DAY(1)),1)=5,DATE(YEAR(Q37),MONTH(Q37),DAY(1)),IF(NOT(M40=""),M40+1,""))</f>
        <v>45540</v>
      </c>
      <c r="O40" s="53">
        <f>IF(WEEKDAY(DATE(YEAR(Q37),MONTH(Q37),DAY(1)),1)=6,DATE(YEAR(Q37),MONTH(Q37),DAY(1)),IF(NOT(N40=""),N40+1,""))</f>
        <v>45541</v>
      </c>
      <c r="P40" s="53">
        <f>IF(WEEKDAY(DATE(YEAR(Q37),MONTH(Q37),DAY(1)),1)=7,DATE(YEAR(Q37),MONTH(Q37),DAY(1)),DATE(YEAR(O40),MONTH(O40),DAY(O40+1)))</f>
        <v>45542</v>
      </c>
      <c r="Q40" s="54"/>
      <c r="R40" s="53">
        <f>IF(WEEKDAY(DATE(YEAR(Y37),MONTH(Y37),DAY(1)),1)=1,DATE(YEAR(Y37),MONTH(Y37),DAY(1)),"")</f>
      </c>
      <c r="S40" s="53">
        <f>IF(WEEKDAY(DATE(YEAR(Y37),MONTH(Y37),DAY(1)),1)=2,DATE(YEAR(Y37),MONTH(Y37),DAY(1)),IF(NOT(R40=""),R40+1,""))</f>
      </c>
      <c r="T40" s="53">
        <f>IF(WEEKDAY(DATE(YEAR(Y37),MONTH(Y37),DAY(1)),1)=3,DATE(YEAR(Y37),MONTH(Y37),DAY(1)),IF(NOT(S40=""),S40+1,""))</f>
        <v>45566</v>
      </c>
      <c r="U40" s="53">
        <f>IF(WEEKDAY(DATE(YEAR(Y37),MONTH(Y37),DAY(1)),1)=4,DATE(YEAR(Y37),MONTH(Y37),DAY(1)),IF(NOT(T40=""),T40+1,""))</f>
        <v>45567</v>
      </c>
      <c r="V40" s="53">
        <f>IF(WEEKDAY(DATE(YEAR(Y37),MONTH(Y37),DAY(1)),1)=5,DATE(YEAR(Y37),MONTH(Y37),DAY(1)),IF(NOT(U40=""),U40+1,""))</f>
        <v>45568</v>
      </c>
      <c r="W40" s="53">
        <f>IF(WEEKDAY(DATE(YEAR(Y37),MONTH(Y37),DAY(1)),1)=6,DATE(YEAR(Y37),MONTH(Y37),DAY(1)),IF(NOT(V40=""),V40+1,""))</f>
        <v>45569</v>
      </c>
      <c r="X40" s="53">
        <f>IF(WEEKDAY(DATE(YEAR(Y37),MONTH(Y37),DAY(1)),1)=7,DATE(YEAR(Y37),MONTH(Y37),DAY(1)),DATE(YEAR(W40),MONTH(W40),DAY(W40+1)))</f>
        <v>45570</v>
      </c>
      <c r="Y40" s="55"/>
      <c r="Z40" s="55"/>
      <c r="AA40" s="55"/>
    </row>
    <row r="41" spans="1:27" ht="30" customHeight="1">
      <c r="A41" s="54"/>
      <c r="B41" s="60">
        <f aca="true" t="shared" si="48" ref="B41:G41">IF(B40="","",IF(ISNA(VLOOKUP(B40,$J$70:$L$124,3,FALSE)),"",VLOOKUP(B40,$J$70:$L$124,3,FALSE)))</f>
      </c>
      <c r="C41" s="61">
        <f t="shared" si="48"/>
      </c>
      <c r="D41" s="60">
        <f t="shared" si="48"/>
      </c>
      <c r="E41" s="60">
        <f t="shared" si="48"/>
      </c>
      <c r="F41" s="60">
        <f t="shared" si="48"/>
      </c>
      <c r="G41" s="60">
        <f t="shared" si="48"/>
      </c>
      <c r="H41" s="60">
        <f>IF(ISNA(VLOOKUP(H40,$J$70:$L$124,3,FALSE)),"",VLOOKUP(H40,$J$70:$L$124,3,FALSE))</f>
      </c>
      <c r="I41" s="54"/>
      <c r="J41" s="60">
        <f aca="true" t="shared" si="49" ref="J41:O41">IF(J40="","",IF(ISNA(VLOOKUP(J40,$J$70:$L$124,3,FALSE)),"",VLOOKUP(J40,$J$70:$L$124,3,FALSE)))</f>
      </c>
      <c r="K41" s="60">
        <f t="shared" si="49"/>
      </c>
      <c r="L41" s="60">
        <f t="shared" si="49"/>
      </c>
      <c r="M41" s="60">
        <f t="shared" si="49"/>
      </c>
      <c r="N41" s="60">
        <f t="shared" si="49"/>
      </c>
      <c r="O41" s="60">
        <f t="shared" si="49"/>
      </c>
      <c r="P41" s="60">
        <f>IF(ISNA(VLOOKUP(P40,$J$70:$L$124,3,FALSE)),"",VLOOKUP(P40,$J$70:$L$124,3,FALSE))</f>
      </c>
      <c r="Q41" s="54"/>
      <c r="R41" s="60">
        <f aca="true" t="shared" si="50" ref="R41:W41">IF(R40="","",IF(ISNA(VLOOKUP(R40,$J$70:$L$124,3,FALSE)),"",VLOOKUP(R40,$J$70:$L$124,3,FALSE)))</f>
      </c>
      <c r="S41" s="60">
        <f t="shared" si="50"/>
      </c>
      <c r="T41" s="60">
        <f t="shared" si="50"/>
      </c>
      <c r="U41" s="60">
        <f t="shared" si="50"/>
      </c>
      <c r="V41" s="60">
        <f t="shared" si="50"/>
      </c>
      <c r="W41" s="60">
        <f t="shared" si="50"/>
      </c>
      <c r="X41" s="60">
        <f>IF(ISNA(VLOOKUP(X40,$J$70:$L$124,3,FALSE)),"",VLOOKUP(X40,$J$70:$L$124,3,FALSE))</f>
      </c>
      <c r="Y41" s="55"/>
      <c r="Z41" s="55"/>
      <c r="AA41" s="55"/>
    </row>
    <row r="42" spans="1:27" ht="13.5" customHeight="1">
      <c r="A42" s="54"/>
      <c r="B42" s="53">
        <f>DATE(YEAR(H40),MONTH(H40),DAY(H40+1))</f>
        <v>45508</v>
      </c>
      <c r="C42" s="53">
        <f aca="true" t="shared" si="51" ref="C42:H42">DATE(YEAR(B42),MONTH(B42),DAY(B42+1))</f>
        <v>45509</v>
      </c>
      <c r="D42" s="53">
        <f t="shared" si="51"/>
        <v>45510</v>
      </c>
      <c r="E42" s="53">
        <f t="shared" si="51"/>
        <v>45511</v>
      </c>
      <c r="F42" s="53">
        <f t="shared" si="51"/>
        <v>45512</v>
      </c>
      <c r="G42" s="53">
        <f t="shared" si="51"/>
        <v>45513</v>
      </c>
      <c r="H42" s="53">
        <f t="shared" si="51"/>
        <v>45514</v>
      </c>
      <c r="I42" s="54"/>
      <c r="J42" s="53">
        <f>DATE(YEAR(P40),MONTH(P40),DAY(P40+1))</f>
        <v>45543</v>
      </c>
      <c r="K42" s="53">
        <f aca="true" t="shared" si="52" ref="K42:P42">DATE(YEAR(J42),MONTH(J42),DAY(J42+1))</f>
        <v>45544</v>
      </c>
      <c r="L42" s="53">
        <f t="shared" si="52"/>
        <v>45545</v>
      </c>
      <c r="M42" s="53">
        <f t="shared" si="52"/>
        <v>45546</v>
      </c>
      <c r="N42" s="53">
        <f t="shared" si="52"/>
        <v>45547</v>
      </c>
      <c r="O42" s="53">
        <f t="shared" si="52"/>
        <v>45548</v>
      </c>
      <c r="P42" s="53">
        <f t="shared" si="52"/>
        <v>45549</v>
      </c>
      <c r="Q42" s="54"/>
      <c r="R42" s="53">
        <f>DATE(YEAR(X40),MONTH(X40),DAY(X40+1))</f>
        <v>45571</v>
      </c>
      <c r="S42" s="53">
        <f aca="true" t="shared" si="53" ref="S42:X42">DATE(YEAR(R42),MONTH(R42),DAY(R42+1))</f>
        <v>45572</v>
      </c>
      <c r="T42" s="53">
        <f t="shared" si="53"/>
        <v>45573</v>
      </c>
      <c r="U42" s="53">
        <f t="shared" si="53"/>
        <v>45574</v>
      </c>
      <c r="V42" s="53">
        <f t="shared" si="53"/>
        <v>45575</v>
      </c>
      <c r="W42" s="53">
        <f t="shared" si="53"/>
        <v>45576</v>
      </c>
      <c r="X42" s="53">
        <f t="shared" si="53"/>
        <v>45577</v>
      </c>
      <c r="Y42" s="55"/>
      <c r="Z42" s="55"/>
      <c r="AA42" s="55"/>
    </row>
    <row r="43" spans="1:27" ht="30" customHeight="1">
      <c r="A43" s="54"/>
      <c r="B43" s="62">
        <f aca="true" t="shared" si="54" ref="B43:H43">IF(ISNA(VLOOKUP(B42,$J$70:$L$124,3,FALSE)),"",VLOOKUP(B42,$J$70:$L$124,3,FALSE))</f>
      </c>
      <c r="C43" s="62">
        <f t="shared" si="54"/>
      </c>
      <c r="D43" s="62">
        <f t="shared" si="54"/>
      </c>
      <c r="E43" s="62">
        <f t="shared" si="54"/>
      </c>
      <c r="F43" s="62">
        <f t="shared" si="54"/>
      </c>
      <c r="G43" s="62">
        <f t="shared" si="54"/>
      </c>
      <c r="H43" s="62">
        <f t="shared" si="54"/>
      </c>
      <c r="I43" s="54"/>
      <c r="J43" s="62">
        <f aca="true" t="shared" si="55" ref="J43:P43">IF(ISNA(VLOOKUP(J42,$J$70:$L$124,3,FALSE)),"",VLOOKUP(J42,$J$70:$L$124,3,FALSE))</f>
      </c>
      <c r="K43" s="62">
        <f t="shared" si="55"/>
      </c>
      <c r="L43" s="62">
        <f t="shared" si="55"/>
      </c>
      <c r="M43" s="62">
        <f t="shared" si="55"/>
      </c>
      <c r="N43" s="62">
        <f t="shared" si="55"/>
      </c>
      <c r="O43" s="62">
        <f t="shared" si="55"/>
      </c>
      <c r="P43" s="62">
        <f t="shared" si="55"/>
      </c>
      <c r="Q43" s="54"/>
      <c r="R43" s="62">
        <f aca="true" t="shared" si="56" ref="R43:X43">IF(ISNA(VLOOKUP(R42,$J$70:$L$124,3,FALSE)),"",VLOOKUP(R42,$J$70:$L$124,3,FALSE))</f>
      </c>
      <c r="S43" s="62">
        <f t="shared" si="56"/>
      </c>
      <c r="T43" s="62">
        <f t="shared" si="56"/>
      </c>
      <c r="U43" s="62">
        <f t="shared" si="56"/>
      </c>
      <c r="V43" s="62">
        <f t="shared" si="56"/>
      </c>
      <c r="W43" s="62">
        <f t="shared" si="56"/>
      </c>
      <c r="X43" s="62">
        <f t="shared" si="56"/>
      </c>
      <c r="Y43" s="55"/>
      <c r="Z43" s="55"/>
      <c r="AA43" s="55"/>
    </row>
    <row r="44" spans="1:27" ht="13.5" customHeight="1">
      <c r="A44" s="54"/>
      <c r="B44" s="53">
        <f>DATE(YEAR(H42),MONTH(H42),DAY(H42+1))</f>
        <v>45515</v>
      </c>
      <c r="C44" s="53">
        <f aca="true" t="shared" si="57" ref="C44:H44">DATE(YEAR(B44),MONTH(B44),DAY(B44+1))</f>
        <v>45516</v>
      </c>
      <c r="D44" s="53">
        <f t="shared" si="57"/>
        <v>45517</v>
      </c>
      <c r="E44" s="53">
        <f t="shared" si="57"/>
        <v>45518</v>
      </c>
      <c r="F44" s="53">
        <f t="shared" si="57"/>
        <v>45519</v>
      </c>
      <c r="G44" s="53">
        <f t="shared" si="57"/>
        <v>45520</v>
      </c>
      <c r="H44" s="53">
        <f t="shared" si="57"/>
        <v>45521</v>
      </c>
      <c r="I44" s="54"/>
      <c r="J44" s="53">
        <f>DATE(YEAR(P42),MONTH(P42),DAY(P42+1))</f>
        <v>45550</v>
      </c>
      <c r="K44" s="53">
        <f aca="true" t="shared" si="58" ref="K44:P44">DATE(YEAR(J44),MONTH(J44),DAY(J44+1))</f>
        <v>45551</v>
      </c>
      <c r="L44" s="53">
        <f t="shared" si="58"/>
        <v>45552</v>
      </c>
      <c r="M44" s="53">
        <f t="shared" si="58"/>
        <v>45553</v>
      </c>
      <c r="N44" s="53">
        <f t="shared" si="58"/>
        <v>45554</v>
      </c>
      <c r="O44" s="53">
        <f t="shared" si="58"/>
        <v>45555</v>
      </c>
      <c r="P44" s="53">
        <f t="shared" si="58"/>
        <v>45556</v>
      </c>
      <c r="Q44" s="54"/>
      <c r="R44" s="53">
        <f>DATE(YEAR(X42),MONTH(X42),DAY(X42+1))</f>
        <v>45578</v>
      </c>
      <c r="S44" s="53">
        <f aca="true" t="shared" si="59" ref="S44:X44">DATE(YEAR(R44),MONTH(R44),DAY(R44+1))</f>
        <v>45579</v>
      </c>
      <c r="T44" s="53">
        <f t="shared" si="59"/>
        <v>45580</v>
      </c>
      <c r="U44" s="53">
        <f t="shared" si="59"/>
        <v>45581</v>
      </c>
      <c r="V44" s="53">
        <f t="shared" si="59"/>
        <v>45582</v>
      </c>
      <c r="W44" s="53">
        <f t="shared" si="59"/>
        <v>45583</v>
      </c>
      <c r="X44" s="53">
        <f t="shared" si="59"/>
        <v>45584</v>
      </c>
      <c r="Y44" s="55"/>
      <c r="Z44" s="55"/>
      <c r="AA44" s="55"/>
    </row>
    <row r="45" spans="1:27" ht="30" customHeight="1">
      <c r="A45" s="54"/>
      <c r="B45" s="62">
        <f aca="true" t="shared" si="60" ref="B45:H45">IF(ISNA(VLOOKUP(B44,$J$70:$L$124,3,FALSE)),"",VLOOKUP(B44,$J$70:$L$124,3,FALSE))</f>
      </c>
      <c r="C45" s="62">
        <f t="shared" si="60"/>
      </c>
      <c r="D45" s="62">
        <f t="shared" si="60"/>
      </c>
      <c r="E45" s="62">
        <f t="shared" si="60"/>
      </c>
      <c r="F45" s="62">
        <f t="shared" si="60"/>
      </c>
      <c r="G45" s="62">
        <f t="shared" si="60"/>
      </c>
      <c r="H45" s="62">
        <f t="shared" si="60"/>
      </c>
      <c r="I45" s="54"/>
      <c r="J45" s="62">
        <f aca="true" t="shared" si="61" ref="J45:P45">IF(ISNA(VLOOKUP(J44,$J$70:$L$124,3,FALSE)),"",VLOOKUP(J44,$J$70:$L$124,3,FALSE))</f>
      </c>
      <c r="K45" s="62" t="str">
        <f t="shared" si="61"/>
        <v>Keirou no hi
(Respect for the Aged Day)</v>
      </c>
      <c r="L45" s="62">
        <f t="shared" si="61"/>
      </c>
      <c r="M45" s="62">
        <f t="shared" si="61"/>
      </c>
      <c r="N45" s="62">
        <f t="shared" si="61"/>
      </c>
      <c r="O45" s="62">
        <f t="shared" si="61"/>
      </c>
      <c r="P45" s="62">
        <f t="shared" si="61"/>
      </c>
      <c r="Q45" s="54"/>
      <c r="R45" s="62">
        <f aca="true" t="shared" si="62" ref="R45:X45">IF(ISNA(VLOOKUP(R44,$J$70:$L$124,3,FALSE)),"",VLOOKUP(R44,$J$70:$L$124,3,FALSE))</f>
      </c>
      <c r="S45" s="62" t="str">
        <f t="shared" si="62"/>
        <v>Taiiku no hi 
(Sports Day)</v>
      </c>
      <c r="T45" s="62">
        <f t="shared" si="62"/>
      </c>
      <c r="U45" s="62">
        <f t="shared" si="62"/>
      </c>
      <c r="V45" s="62">
        <f t="shared" si="62"/>
      </c>
      <c r="W45" s="62">
        <f t="shared" si="62"/>
      </c>
      <c r="X45" s="62">
        <f t="shared" si="62"/>
      </c>
      <c r="Y45" s="55"/>
      <c r="Z45" s="55"/>
      <c r="AA45" s="55"/>
    </row>
    <row r="46" spans="1:27" ht="13.5" customHeight="1">
      <c r="A46" s="54"/>
      <c r="B46" s="53">
        <f>DATE(YEAR(H44),MONTH(H44),DAY(H44+1))</f>
        <v>45522</v>
      </c>
      <c r="C46" s="53">
        <f aca="true" t="shared" si="63" ref="C46:H46">DATE(YEAR(B46),MONTH(B46),DAY(B46+1))</f>
        <v>45523</v>
      </c>
      <c r="D46" s="53">
        <f t="shared" si="63"/>
        <v>45524</v>
      </c>
      <c r="E46" s="53">
        <f t="shared" si="63"/>
        <v>45525</v>
      </c>
      <c r="F46" s="53">
        <f t="shared" si="63"/>
        <v>45526</v>
      </c>
      <c r="G46" s="53">
        <f t="shared" si="63"/>
        <v>45527</v>
      </c>
      <c r="H46" s="53">
        <f t="shared" si="63"/>
        <v>45528</v>
      </c>
      <c r="I46" s="54"/>
      <c r="J46" s="53">
        <f>DATE(YEAR(P44),MONTH(P44),DAY(P44+1))</f>
        <v>45557</v>
      </c>
      <c r="K46" s="53">
        <f aca="true" t="shared" si="64" ref="K46:P46">DATE(YEAR(J46),MONTH(J46),DAY(J46+1))</f>
        <v>45558</v>
      </c>
      <c r="L46" s="53">
        <f t="shared" si="64"/>
        <v>45559</v>
      </c>
      <c r="M46" s="53">
        <f t="shared" si="64"/>
        <v>45560</v>
      </c>
      <c r="N46" s="53">
        <f t="shared" si="64"/>
        <v>45561</v>
      </c>
      <c r="O46" s="53">
        <f t="shared" si="64"/>
        <v>45562</v>
      </c>
      <c r="P46" s="53">
        <f t="shared" si="64"/>
        <v>45563</v>
      </c>
      <c r="Q46" s="54"/>
      <c r="R46" s="53">
        <f>DATE(YEAR(X44),MONTH(X44),DAY(X44+1))</f>
        <v>45585</v>
      </c>
      <c r="S46" s="53">
        <f aca="true" t="shared" si="65" ref="S46:X46">DATE(YEAR(R46),MONTH(R46),DAY(R46+1))</f>
        <v>45586</v>
      </c>
      <c r="T46" s="53">
        <f t="shared" si="65"/>
        <v>45587</v>
      </c>
      <c r="U46" s="53">
        <f t="shared" si="65"/>
        <v>45588</v>
      </c>
      <c r="V46" s="53">
        <f t="shared" si="65"/>
        <v>45589</v>
      </c>
      <c r="W46" s="53">
        <f t="shared" si="65"/>
        <v>45590</v>
      </c>
      <c r="X46" s="53">
        <f t="shared" si="65"/>
        <v>45591</v>
      </c>
      <c r="Y46" s="55"/>
      <c r="Z46" s="55"/>
      <c r="AA46" s="55"/>
    </row>
    <row r="47" spans="1:27" ht="30" customHeight="1">
      <c r="A47" s="54"/>
      <c r="B47" s="62">
        <f aca="true" t="shared" si="66" ref="B47:H47">IF(ISNA(VLOOKUP(B46,$J$70:$L$124,3,FALSE)),"",VLOOKUP(B46,$J$70:$L$124,3,FALSE))</f>
      </c>
      <c r="C47" s="62">
        <f t="shared" si="66"/>
      </c>
      <c r="D47" s="62">
        <f t="shared" si="66"/>
      </c>
      <c r="E47" s="62">
        <f t="shared" si="66"/>
      </c>
      <c r="F47" s="62">
        <f t="shared" si="66"/>
      </c>
      <c r="G47" s="62">
        <f t="shared" si="66"/>
      </c>
      <c r="H47" s="62">
        <f t="shared" si="66"/>
      </c>
      <c r="I47" s="54"/>
      <c r="J47" s="62">
        <f aca="true" t="shared" si="67" ref="J47:P47">IF(ISNA(VLOOKUP(J46,$J$70:$L$124,3,FALSE)),"",VLOOKUP(J46,$J$70:$L$124,3,FALSE))</f>
      </c>
      <c r="K47" s="62" t="str">
        <f t="shared" si="67"/>
        <v>Shuubun no hi (Autumn Equinox) </v>
      </c>
      <c r="L47" s="62">
        <f t="shared" si="67"/>
      </c>
      <c r="M47" s="62">
        <f t="shared" si="67"/>
      </c>
      <c r="N47" s="62">
        <f t="shared" si="67"/>
      </c>
      <c r="O47" s="62">
        <f t="shared" si="67"/>
      </c>
      <c r="P47" s="62">
        <f t="shared" si="67"/>
      </c>
      <c r="Q47" s="54"/>
      <c r="R47" s="62">
        <f aca="true" t="shared" si="68" ref="R47:X47">IF(ISNA(VLOOKUP(R46,$J$70:$L$124,3,FALSE)),"",VLOOKUP(R46,$J$70:$L$124,3,FALSE))</f>
      </c>
      <c r="S47" s="62">
        <f t="shared" si="68"/>
      </c>
      <c r="T47" s="62">
        <f t="shared" si="68"/>
      </c>
      <c r="U47" s="62">
        <f t="shared" si="68"/>
      </c>
      <c r="V47" s="62">
        <f t="shared" si="68"/>
      </c>
      <c r="W47" s="62">
        <f t="shared" si="68"/>
      </c>
      <c r="X47" s="62">
        <f t="shared" si="68"/>
      </c>
      <c r="Y47" s="55"/>
      <c r="Z47" s="55"/>
      <c r="AA47" s="55"/>
    </row>
    <row r="48" spans="1:27" ht="13.5" customHeight="1">
      <c r="A48" s="54"/>
      <c r="B48" s="53">
        <f>IF(DAY(H40+22)=1,"",DATE(YEAR(H40),MONTH(H40),DAY(H40+22)))</f>
        <v>45529</v>
      </c>
      <c r="C48" s="53">
        <f>IF(OR(DAY(H40+22)=1,DAY(H40+23)=1),"",IF(OR(NOT(MONTH(I37)=2),AND(MONTH(I37)=2,OR(MOD(YEAR(I37),400)=0,AND(MOD(YEAR(I37),4)=0,MOD(YEAR(I37),100)&lt;&gt;0)))),DATE(YEAR(B48),MONTH(B48),DAY(B48+1)),IF(AND(MONTH(I37)=2,OR(C40="",D40="")),DATE(YEAR(B48),MONTH(B48),DAY(B48+1)),"")))</f>
        <v>45530</v>
      </c>
      <c r="D48" s="53">
        <f>IF(OR(DAY(H40+22)=1,DAY(H40+23)=1,DAY(H40+24)=1),"",IF(OR(NOT(MONTH(I37)=2),AND(MONTH(I37)=2,OR(MOD(YEAR(I37),400)=0,AND(MOD(YEAR(I37),4)=0,MOD(YEAR(I37),100)&lt;&gt;0)))),DATE(YEAR(C48),MONTH(C48),DAY(C48+1)),IF(AND(MONTH(I37)=2,OR(C40="",D40="")),DATE(YEAR(C48),MONTH(C48),DAY(C48+1)),"")))</f>
        <v>45531</v>
      </c>
      <c r="E48" s="53">
        <f>IF(OR(DAY(H40+22)=1,DAY(H40+23)=1,DAY(H40+24)=1,DAY(H40+25)=1),"",IF(OR(NOT(MONTH(B37)=2),AND(MONTH(B37)=2,OR(MOD(YEAR(B37),400)=0,AND(MOD(YEAR(B37),4)=0,MOD(YEAR(B37),100)&lt;&gt;0)))),DATE(YEAR(D48),MONTH(D48),DAY(D48+1)),IF(AND(MONTH(B37)=2,OR(C40="",D40="")),DATE(YEAR(D48),MONTH(D48),DAY(D48+1)),"")))</f>
        <v>45532</v>
      </c>
      <c r="F48" s="53">
        <f>IF(OR(DAY(H40+22)=1,DAY(H40+23)=1,DAY(H40+24)=1,DAY(H40+25)=1,DAY(H40+26)=1),"",IF(OR(NOT(MONTH(B37)=2),AND(MONTH(B37)=2,OR(MOD(YEAR(B37),400)=0,AND(MOD(YEAR(B37),4)=0,MOD(YEAR(B37),100)&lt;&gt;0)))),DATE(YEAR(E48),MONTH(E48),DAY(E48+1)),IF(AND(MONTH(B37)=2,OR(C40="",D40="")),DATE(YEAR(E48),MONTH(E48),DAY(E48+1)),"")))</f>
        <v>45533</v>
      </c>
      <c r="G48" s="53">
        <f>IF(OR(DAY(H40+22)=1,DAY(H40+23)=1,DAY(H40+24)=1,DAY(H40+25)=1,DAY(H40+26)=1,DAY(H40+27)=1),"",IF(OR(NOT(MONTH(B37)=2),AND(MONTH(B37)=2,OR(MOD(YEAR(B37),400)=0,AND(MOD(YEAR(B37),4)=0,MOD(YEAR(B37),100)&lt;&gt;0)))),DATE(YEAR(F48),MONTH(F48),DAY(F48+1)),IF(AND(MONTH(B37)=2,OR(C40="",D40="")),DATE(YEAR(F48),MONTH(F48),DAY(F48+1)),"")))</f>
        <v>45534</v>
      </c>
      <c r="H48" s="53">
        <f>IF(OR(DAY(H40+22)=1,DAY(H40+23)=1,DAY(H40+24)=1,DAY(H40+25)=1,DAY(H40+26)=1,DAY(H40+27)=1,DAY(H40+28)=1),"",IF(OR(NOT(MONTH(B37)=2),AND(MONTH(B37)=2,OR(MOD(YEAR(B37),400)=0,AND(MOD(YEAR(B37),4)=0,MOD(YEAR(B37),100)&lt;&gt;0)))),DATE(YEAR(G48),MONTH(G48),DAY(G48+1)),IF(AND(MONTH(B37)=2,OR(C40="",D40="")),DATE(YEAR(G48),MONTH(G48),DAY(G48+1)),"")))</f>
        <v>45535</v>
      </c>
      <c r="I48" s="54"/>
      <c r="J48" s="53">
        <f>IF(DAY(P40+22)=1,"",DATE(YEAR(P40),MONTH(P40),DAY(P40+22)))</f>
        <v>45564</v>
      </c>
      <c r="K48" s="53">
        <f>IF(OR(DAY(H40+22)=1,DAY(P40+23)=1),"",IF(OR(NOT(MONTH(J37)=2),AND(MONTH(J37)=2,OR(MOD(YEAR(J37),400)=0,AND(MOD(YEAR(J37),4)=0,MOD(YEAR(J37),100)&lt;&gt;0)))),DATE(YEAR(J48),MONTH(J48),DAY(J48+1)),IF(AND(MONTH(J37)=2,OR(K40="",L40="")),DATE(YEAR(J48),MONTH(J48),DAY(J48+1)),"")))</f>
        <v>45565</v>
      </c>
      <c r="L48" s="53">
        <f>IF(OR(DAY(H40+22)=1,DAY(P40+23)=1,DAY(P40+24)=1),"",IF(OR(NOT(MONTH(J37)=2),AND(MONTH(J37)=2,OR(MOD(YEAR(J37),400)=0,AND(MOD(YEAR(J37),4)=0,MOD(YEAR(J37),100)&lt;&gt;0)))),DATE(YEAR(K48),MONTH(K48),DAY(K48+1)),IF(AND(MONTH(J37)=2,OR(K40="",L40="")),DATE(YEAR(K48),MONTH(K48),DAY(K48+1)),"")))</f>
      </c>
      <c r="M48" s="53">
        <f>IF(OR(DAY(H40+22)=1,DAY(P40+23)=1,DAY(P40+24)=1,DAY(P40+25)=1),"",IF(OR(NOT(MONTH(J37)=2),AND(MONTH(J37)=2,OR(MOD(YEAR(J37),400)=0,AND(MOD(YEAR(J37),4)=0,MOD(YEAR(J37),100)&lt;&gt;0)))),DATE(YEAR(L48),MONTH(L48),DAY(L48+1)),IF(AND(MONTH(J37)=2,OR(K40="",L40="")),DATE(YEAR(L48),MONTH(L48),DAY(L48+1)),"")))</f>
      </c>
      <c r="N48" s="53">
        <f>IF(OR(DAY(H40+22)=1,DAY(P40+23)=1,DAY(P40+24)=1,DAY(P40+25)=1,DAY(P40+26)=1),"",IF(OR(NOT(MONTH(J37)=2),AND(MONTH(J37)=2,OR(MOD(YEAR(J37),400)=0,AND(MOD(YEAR(J37),4)=0,MOD(YEAR(J37),100)&lt;&gt;0)))),DATE(YEAR(M48),MONTH(M48),DAY(M48+1)),IF(AND(MONTH(J37)=2,OR(K40="",L40="")),DATE(YEAR(M48),MONTH(M48),DAY(M48+1)),"")))</f>
      </c>
      <c r="O48" s="53">
        <f>IF(OR(DAY(H40+22)=1,DAY(P40+23)=1,DAY(P40+24)=1,DAY(P40+25)=1,DAY(P40+26)=1,DAY(P40+27)=1),"",IF(OR(NOT(MONTH(J37)=2),AND(MONTH(J37)=2,OR(MOD(YEAR(J37),400)=0,AND(MOD(YEAR(J37),4)=0,MOD(YEAR(J37),100)&lt;&gt;0)))),DATE(YEAR(N48),MONTH(N48),DAY(N48+1)),IF(AND(MONTH(J37)=2,OR(K40="",L40="")),DATE(YEAR(N48),MONTH(N48),DAY(N48+1)),"")))</f>
      </c>
      <c r="P48" s="53">
        <f>IF(OR(DAY(H40+22)=1,DAY(P40+23)=1,DAY(P40+24)=1,DAY(P40+25)=1,DAY(P40+26)=1,DAY(P40+27)=1,DAY(P40+28)=1),"",IF(OR(NOT(MONTH(J37)=2),AND(MONTH(J37)=2,OR(MOD(YEAR(J37),400)=0,AND(MOD(YEAR(J37),4)=0,MOD(YEAR(J37),100)&lt;&gt;0)))),DATE(YEAR(O48),MONTH(O48),DAY(O48+1)),IF(AND(MONTH(J37)=2,OR(K40="",L40="")),DATE(YEAR(O48),MONTH(O48),DAY(O48+1)),"")))</f>
      </c>
      <c r="Q48" s="54"/>
      <c r="R48" s="53">
        <f>IF(DAY(X40+22)=1,"",DATE(YEAR(X40),MONTH(X40),DAY(X40+22)))</f>
        <v>45592</v>
      </c>
      <c r="S48" s="53">
        <f>IF(OR(DAY(X40+22)=1,DAY(X40+23)=1),"",IF(OR(NOT(MONTH(R37)=2),AND(MONTH(R37)=2,OR(MOD(YEAR(R37),400)=0,AND(MOD(YEAR(R37),4)=0,MOD(YEAR(R37),100)&lt;&gt;0)))),DATE(YEAR(R48),MONTH(R48),DAY(R48+1)),IF(AND(MONTH(R37)=2,OR(S40="",T40="")),DATE(YEAR(R48),MONTH(R48),DAY(R48+1)),"")))</f>
        <v>45593</v>
      </c>
      <c r="T48" s="53">
        <f>IF(OR(DAY(X40+22)=1,DAY(X40+23)=1,DAY(X40+24)=1),"",IF(OR(NOT(MONTH(R37)=2),AND(MONTH(R37)=2,OR(MOD(YEAR(R37),400)=0,AND(MOD(YEAR(R37),4)=0,MOD(YEAR(R37),100)&lt;&gt;0)))),DATE(YEAR(S48),MONTH(S48),DAY(S48+1)),IF(AND(MONTH(R37)=2,OR(S40="",T40="")),DATE(YEAR(S48),MONTH(S48),DAY(S48+1)),"")))</f>
        <v>45594</v>
      </c>
      <c r="U48" s="53">
        <f>IF(OR(DAY(X40+22)=1,DAY(X40+23)=1,DAY(X40+24)=1,DAY(X40+25)=1),"",IF(OR(NOT(MONTH(R37)=2),AND(MONTH(R37)=2,OR(MOD(YEAR(R37),400)=0,AND(MOD(YEAR(R37),4)=0,MOD(YEAR(R37),100)&lt;&gt;0)))),DATE(YEAR(T48),MONTH(T48),DAY(T48+1)),IF(AND(MONTH(R37)=2,OR(S40="",T40="")),DATE(YEAR(T48),MONTH(T48),DAY(T48+1)),"")))</f>
        <v>45595</v>
      </c>
      <c r="V48" s="53">
        <f>IF(OR(DAY(X40+22)=1,DAY(X40+23)=1,DAY(X40+24)=1,DAY(X40+25)=1,DAY(X40+26)=1),"",IF(OR(NOT(MONTH(R37)=2),AND(MONTH(R37)=2,OR(MOD(YEAR(R37),400)=0,AND(MOD(YEAR(R37),4)=0,MOD(YEAR(R37),100)&lt;&gt;0)))),DATE(YEAR(U48),MONTH(U48),DAY(U48+1)),IF(AND(MONTH(R37)=2,OR(S40="",T40="")),DATE(YEAR(U48),MONTH(U48),DAY(U48+1)),"")))</f>
        <v>45596</v>
      </c>
      <c r="W48" s="53">
        <f>IF(OR(DAY(X40+22)=1,DAY(X40+23)=1,DAY(X40+24)=1,DAY(X40+25)=1,DAY(X40+26)=1,DAY(X40+27)=1),"",IF(OR(NOT(MONTH(R37)=2),AND(MONTH(R37)=2,OR(MOD(YEAR(R37),400)=0,AND(MOD(YEAR(R37),4)=0,MOD(YEAR(R37),100)&lt;&gt;0)))),DATE(YEAR(V48),MONTH(V48),DAY(V48+1)),IF(AND(MONTH(R37)=2,OR(S40="",T40="")),DATE(YEAR(V48),MONTH(V48),DAY(V48+1)),"")))</f>
      </c>
      <c r="X48" s="53">
        <f>IF(OR(DAY(X40+22)=1,DAY(X40+23)=1,DAY(X40+24)=1,DAY(X40+25)=1,DAY(X40+26)=1,DAY(X40+27)=1,DAY(X40+28)=1),"",IF(OR(NOT(MONTH(R37)=2),AND(MONTH(R37)=2,OR(MOD(YEAR(R37),400)=0,AND(MOD(YEAR(R37),4)=0,MOD(YEAR(R37),100)&lt;&gt;0)))),DATE(YEAR(W48),MONTH(W48),DAY(W48+1)),IF(AND(MONTH(R37)=2,OR(S40="",T40="")),DATE(YEAR(W48),MONTH(W48),DAY(W48+1)),"")))</f>
      </c>
      <c r="Y48" s="55"/>
      <c r="Z48" s="55"/>
      <c r="AA48" s="55"/>
    </row>
    <row r="49" spans="1:27" ht="30" customHeight="1">
      <c r="A49" s="54"/>
      <c r="B49" s="56">
        <f aca="true" t="shared" si="69" ref="B49:H49">IF(ISNA(VLOOKUP(B48,$J$70:$L$124,3,FALSE)),"",VLOOKUP(B48,$J$70:$L$124,3,FALSE))</f>
      </c>
      <c r="C49" s="56">
        <f t="shared" si="69"/>
      </c>
      <c r="D49" s="56">
        <f t="shared" si="69"/>
      </c>
      <c r="E49" s="56">
        <f t="shared" si="69"/>
      </c>
      <c r="F49" s="56">
        <f t="shared" si="69"/>
      </c>
      <c r="G49" s="56">
        <f t="shared" si="69"/>
      </c>
      <c r="H49" s="56">
        <f t="shared" si="69"/>
      </c>
      <c r="I49" s="54"/>
      <c r="J49" s="56">
        <f aca="true" t="shared" si="70" ref="J49:P49">IF(ISNA(VLOOKUP(J48,$J$70:$L$124,3,FALSE)),"",VLOOKUP(J48,$J$70:$L$124,3,FALSE))</f>
      </c>
      <c r="K49" s="56">
        <f t="shared" si="70"/>
      </c>
      <c r="L49" s="56" t="str">
        <f t="shared" si="70"/>
        <v>Kokumin no kyujitsu
(Citizen's Holiday)</v>
      </c>
      <c r="M49" s="56" t="str">
        <f t="shared" si="70"/>
        <v>Kokumin no kyujitsu
(Citizen's Holiday)</v>
      </c>
      <c r="N49" s="56" t="str">
        <f t="shared" si="70"/>
        <v>Kokumin no kyujitsu
(Citizen's Holiday)</v>
      </c>
      <c r="O49" s="56" t="str">
        <f t="shared" si="70"/>
        <v>Kokumin no kyujitsu
(Citizen's Holiday)</v>
      </c>
      <c r="P49" s="56" t="str">
        <f t="shared" si="70"/>
        <v>Kokumin no kyujitsu
(Citizen's Holiday)</v>
      </c>
      <c r="Q49" s="54"/>
      <c r="R49" s="56">
        <f aca="true" t="shared" si="71" ref="R49:X49">IF(ISNA(VLOOKUP(R48,$J$70:$L$124,3,FALSE)),"",VLOOKUP(R48,$J$70:$L$124,3,FALSE))</f>
      </c>
      <c r="S49" s="56">
        <f t="shared" si="71"/>
      </c>
      <c r="T49" s="56">
        <f t="shared" si="71"/>
      </c>
      <c r="U49" s="56">
        <f t="shared" si="71"/>
      </c>
      <c r="V49" s="56">
        <f t="shared" si="71"/>
      </c>
      <c r="W49" s="56" t="str">
        <f t="shared" si="71"/>
        <v>Kokumin no kyujitsu
(Citizen's Holiday)</v>
      </c>
      <c r="X49" s="56" t="str">
        <f t="shared" si="71"/>
        <v>Kokumin no kyujitsu
(Citizen's Holiday)</v>
      </c>
      <c r="Y49" s="55"/>
      <c r="Z49" s="55"/>
      <c r="AA49" s="55"/>
    </row>
    <row r="50" spans="1:27" ht="13.5" customHeight="1">
      <c r="A50" s="54"/>
      <c r="B50" s="53">
        <f>IF(OR(DAY(H40+24)=1,DAY(H40+25)=1,DAY(H40+26)=1,DAY(H40+27)=1,DAY(H40+28)=1,DAY(H40+29)=1),"",IF(MONTH(B37)=2,"",DATE(YEAR(H48),MONTH(H48),DAY(H48+1))))</f>
      </c>
      <c r="C50" s="53">
        <f>IF(OR(DAY(H40+24)=1,DAY(H40+25)=1,DAY(H40+26)=1,DAY(H40+27)=1,DAY(H40+28)=1,DAY(H40+29)=1,DAY(H40+30)=1),"",IF(OR(MONTH(B37)=2,MONTH(B37)=4,MONTH(B37)=6,MONTH(B37)=9,MONTH(B37)=11),"",DATE(YEAR(B50),MONTH(B50),DAY(B50+1))))</f>
      </c>
      <c r="I50" s="54"/>
      <c r="J50" s="53">
        <f>IF(OR(DAY(P40+22)=1,DAY(P40+23)=1,DAY(P40+24)=1,DAY(P40+25)=1,DAY(P40+26)=1,DAY(P40+27)=1,DAY(P40+28)=1,DAY(P40+29)=1),"",IF(MONTH(J37)=2,"",DATE(YEAR(P48),MONTH(P48),DAY(P48+1))))</f>
      </c>
      <c r="K50" s="53">
        <f>IF(OR(DAY(P40+22)=1,DAY(P40+23)=1,DAY(P40+24)=1,DAY(P40+25)=1,DAY(P40+26)=1,DAY(P40+27)=1,DAY(P40+28)=1,DAY(P40+29)=1,DAY(P40+30)=1),"",IF(OR(MONTH(J37)=2,MONTH(J37)=4,MONTH(J37)=6,MONTH(J37)=9,MONTH(J37)=11),"",DATE(YEAR(J50),MONTH(J50),DAY(J50+1))))</f>
      </c>
      <c r="Q50" s="54"/>
      <c r="R50" s="53">
        <f>IF(OR(DAY(X40+22)=1,DAY(X40+23)=1,DAY(X40+24)=1,DAY(X40+25)=1,DAY(X40+26)=1,DAY(X40+27)=1,DAY(X40+28)=1,DAY(X40+29)=1),"",IF(MONTH(R37)=2,"",DATE(YEAR(X48),MONTH(X48),DAY(X48+1))))</f>
      </c>
      <c r="S50" s="53">
        <f>IF(OR(DAY(X40+22)=1,DAY(X40+23)=1,DAY(X40+24)=1,DAY(X40+25)=1,DAY(X40+26)=1,DAY(X40+27)=1,DAY(X40+28)=1,DAY(X40+29)=1,DAY(X40+30)=1),"",IF(OR(MONTH(R37)=2,MONTH(R37)=4,MONTH(R37)=6,MONTH(R37)=9,MONTH(R37)=11),"",DATE(YEAR(R50),MONTH(R50),DAY(R50+1))))</f>
      </c>
      <c r="Y50" s="55"/>
      <c r="Z50" s="55"/>
      <c r="AA50" s="55"/>
    </row>
    <row r="51" spans="1:27" ht="30" customHeight="1">
      <c r="A51" s="54"/>
      <c r="B51" s="56">
        <f>IF(B50="","",IF(ISNA(VLOOKUP(B50,$J$70:$L$124,3,FALSE)),"",VLOOKUP(B50,$J$70:$L$124,3,FALSE)))</f>
      </c>
      <c r="C51" s="56">
        <f>IF(C50="","",IF(ISNA(VLOOKUP(C50,$J$70:$L$124,3,FALSE)),"",VLOOKUP(C50,$J$70:$L$124,3,FALSE)))</f>
      </c>
      <c r="I51" s="54"/>
      <c r="J51" s="56">
        <f>IF(J50="","",IF(ISNA(VLOOKUP(J50,$J$70:$L$124,3,FALSE)),"",VLOOKUP(J50,$J$70:$L$124,3,FALSE)))</f>
      </c>
      <c r="K51" s="56">
        <f>IF(K50="","",IF(ISNA(VLOOKUP(K50,$J$70:$L$124,3,FALSE)),"",VLOOKUP(K50,$J$70:$L$124,3,FALSE)))</f>
      </c>
      <c r="Q51" s="54"/>
      <c r="R51" s="56"/>
      <c r="S51" s="56"/>
      <c r="Y51" s="55"/>
      <c r="Z51" s="55"/>
      <c r="AA51" s="55"/>
    </row>
    <row r="52" spans="1:27" ht="9.75" customHeight="1">
      <c r="A52" s="47"/>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row>
    <row r="53" spans="1:27" ht="13.5" customHeight="1">
      <c r="A53" s="47"/>
      <c r="B53" s="213">
        <f>IF(MONTH(R37)=12,TEXT(DATE(YEAR(R37)+1,1,1),"mmmm yyyy"),DATE(YEAR(R37),MONTH(R37)+1,1))</f>
        <v>45597</v>
      </c>
      <c r="C53" s="213"/>
      <c r="D53" s="213"/>
      <c r="E53" s="46"/>
      <c r="I53" s="88">
        <f>DATE(YEAR(Y37),MONTH(Y37)+1,1)</f>
        <v>45597</v>
      </c>
      <c r="J53" s="213">
        <f>IF(MONTH(B53)=12,TEXT(DATE(YEAR(B53)+1,1,1),"mmmm yyyy"),DATE(YEAR(B53),MONTH(B53)+1,1))</f>
        <v>45627</v>
      </c>
      <c r="K53" s="213"/>
      <c r="L53" s="213"/>
      <c r="M53" s="46"/>
      <c r="Q53" s="87">
        <f>DATE(YEAR(I53),MONTH(I53)+1,1)</f>
        <v>45627</v>
      </c>
      <c r="R53" s="214">
        <f>IF($G$3="",IF(MONTH(J53)=12,DATE(YEAR(J53)+1,1,1),DATE(YEAR(J53),MONTH(J53)+1,DAY(1))),DATE($G$3,Q53+1,1))</f>
        <v>45658</v>
      </c>
      <c r="S53" s="214"/>
      <c r="T53" s="214"/>
      <c r="U53" s="46"/>
      <c r="Y53" s="87">
        <f>DATE(YEAR(Q53),MONTH(Q53)+1,1)</f>
        <v>45658</v>
      </c>
      <c r="Z53" s="46"/>
      <c r="AA53" s="46"/>
    </row>
    <row r="54" spans="1:27" ht="5.25" customHeight="1">
      <c r="A54" s="47"/>
      <c r="B54" s="48"/>
      <c r="C54" s="46"/>
      <c r="D54" s="46"/>
      <c r="E54" s="46"/>
      <c r="F54" s="46"/>
      <c r="G54" s="46"/>
      <c r="H54" s="46"/>
      <c r="I54" s="46"/>
      <c r="J54" s="48"/>
      <c r="K54" s="46"/>
      <c r="L54" s="46"/>
      <c r="M54" s="46"/>
      <c r="N54" s="46"/>
      <c r="O54" s="46"/>
      <c r="P54" s="46"/>
      <c r="Q54" s="46"/>
      <c r="R54" s="48"/>
      <c r="S54" s="46"/>
      <c r="T54" s="46"/>
      <c r="U54" s="46"/>
      <c r="V54" s="46"/>
      <c r="W54" s="46"/>
      <c r="X54" s="46"/>
      <c r="Y54" s="46"/>
      <c r="Z54" s="46"/>
      <c r="AA54" s="46"/>
    </row>
    <row r="55" spans="1:27" ht="13.5" customHeight="1">
      <c r="A55" s="47"/>
      <c r="B55" s="49" t="s">
        <v>61</v>
      </c>
      <c r="C55" s="50" t="s">
        <v>62</v>
      </c>
      <c r="D55" s="50" t="s">
        <v>63</v>
      </c>
      <c r="E55" s="50" t="s">
        <v>64</v>
      </c>
      <c r="F55" s="50" t="s">
        <v>65</v>
      </c>
      <c r="G55" s="50" t="s">
        <v>66</v>
      </c>
      <c r="H55" s="49" t="s">
        <v>67</v>
      </c>
      <c r="I55" s="51"/>
      <c r="J55" s="49" t="s">
        <v>61</v>
      </c>
      <c r="K55" s="50" t="s">
        <v>62</v>
      </c>
      <c r="L55" s="50" t="s">
        <v>63</v>
      </c>
      <c r="M55" s="50" t="s">
        <v>64</v>
      </c>
      <c r="N55" s="50" t="s">
        <v>65</v>
      </c>
      <c r="O55" s="50" t="s">
        <v>66</v>
      </c>
      <c r="P55" s="49" t="s">
        <v>67</v>
      </c>
      <c r="Q55" s="51"/>
      <c r="R55" s="49" t="s">
        <v>61</v>
      </c>
      <c r="S55" s="50" t="s">
        <v>62</v>
      </c>
      <c r="T55" s="50" t="s">
        <v>63</v>
      </c>
      <c r="U55" s="50" t="s">
        <v>64</v>
      </c>
      <c r="V55" s="50" t="s">
        <v>65</v>
      </c>
      <c r="W55" s="50" t="s">
        <v>66</v>
      </c>
      <c r="X55" s="49" t="s">
        <v>67</v>
      </c>
      <c r="Y55" s="51"/>
      <c r="Z55" s="51"/>
      <c r="AA55" s="51"/>
    </row>
    <row r="56" spans="1:27" ht="13.5" customHeight="1">
      <c r="A56" s="54"/>
      <c r="B56" s="53">
        <f>IF(WEEKDAY(DATE(YEAR(I53),MONTH(I53),DAY(1)),1)=1,DATE(YEAR(I53),MONTH(I53),DAY(1)),"")</f>
      </c>
      <c r="C56" s="53">
        <f>IF(WEEKDAY(DATE(YEAR(I53),MONTH(I53),DAY(1)),1)=2,DATE(YEAR(I53),MONTH(I53),DAY(1)),IF(NOT(B56=""),B56+1,""))</f>
      </c>
      <c r="D56" s="53">
        <f>IF(WEEKDAY(DATE(YEAR(I53),MONTH(I53),DAY(1)),1)=3,DATE(YEAR(I53),MONTH(I53),DAY(1)),IF(NOT(C56=""),C56+1,""))</f>
      </c>
      <c r="E56" s="53">
        <f>IF(WEEKDAY(DATE(YEAR(I53),MONTH(I53),DAY(1)),1)=4,DATE(YEAR(I53),MONTH(I53),DAY(1)),IF(NOT(D56=""),D56+1,""))</f>
      </c>
      <c r="F56" s="53">
        <f>IF(WEEKDAY(DATE(YEAR(I53),MONTH(I53),DAY(1)),1)=5,DATE(YEAR(I53),MONTH(I53),DAY(1)),IF(NOT(E56=""),E56+1,""))</f>
      </c>
      <c r="G56" s="53">
        <f>IF(WEEKDAY(DATE(YEAR(I53),MONTH(I53),DAY(1)),1)=6,DATE(YEAR(I53),MONTH(I53),DAY(1)),IF(NOT(F56=""),F56+1,""))</f>
        <v>45597</v>
      </c>
      <c r="H56" s="53">
        <f>IF(WEEKDAY(DATE(YEAR(I53),MONTH(I53),DAY(1)),1)=7,DATE(YEAR(I53),MONTH(I53),DAY(1)),DATE(YEAR(G56),MONTH(G56),DAY(G56+1)))</f>
        <v>45598</v>
      </c>
      <c r="I56" s="54"/>
      <c r="J56" s="53">
        <f>IF(WEEKDAY(DATE(YEAR(Q53),MONTH(Q53),DAY(1)),1)=1,DATE(YEAR(Q53),MONTH(Q53),DAY(1)),"")</f>
        <v>45627</v>
      </c>
      <c r="K56" s="53">
        <f>IF(WEEKDAY(DATE(YEAR(Q53),MONTH(Q53),DAY(1)),1)=2,DATE(YEAR(Q53),MONTH(Q53),DAY(1)),IF(NOT(J56=""),J56+1,""))</f>
        <v>45628</v>
      </c>
      <c r="L56" s="53">
        <f>IF(WEEKDAY(DATE(YEAR(Q53),MONTH(Q53),DAY(1)),1)=3,DATE(YEAR(Q53),MONTH(Q53),DAY(1)),IF(NOT(K56=""),K56+1,""))</f>
        <v>45629</v>
      </c>
      <c r="M56" s="53">
        <f>IF(WEEKDAY(DATE(YEAR(Q53),MONTH(Q53),DAY(1)),1)=4,DATE(YEAR(Q53),MONTH(Q53),DAY(1)),IF(NOT(L56=""),L56+1,""))</f>
        <v>45630</v>
      </c>
      <c r="N56" s="53">
        <f>IF(WEEKDAY(DATE(YEAR(Q53),MONTH(Q53),DAY(1)),1)=5,DATE(YEAR(Q53),MONTH(Q53),DAY(1)),IF(NOT(M56=""),M56+1,""))</f>
        <v>45631</v>
      </c>
      <c r="O56" s="53">
        <f>IF(WEEKDAY(DATE(YEAR(Q53),MONTH(Q53),DAY(1)),1)=6,DATE(YEAR(Q53),MONTH(Q53),DAY(1)),IF(NOT(N56=""),N56+1,""))</f>
        <v>45632</v>
      </c>
      <c r="P56" s="53">
        <f>IF(WEEKDAY(DATE(YEAR(Q53),MONTH(Q53),DAY(1)),1)=7,DATE(YEAR(Q53),MONTH(Q53),DAY(1)),DATE(YEAR(O56),MONTH(O56),DAY(O56+1)))</f>
        <v>45633</v>
      </c>
      <c r="Q56" s="54"/>
      <c r="R56" s="53">
        <f>IF(WEEKDAY(DATE(YEAR(Y53),MONTH(Y53),DAY(1)),1)=1,DATE(YEAR(Y53),MONTH(Y53),DAY(1)),"")</f>
      </c>
      <c r="S56" s="53">
        <f>IF(WEEKDAY(DATE(YEAR(Y53),MONTH(Y53),DAY(1)),1)=2,DATE(YEAR(Y53),MONTH(Y53),DAY(1)),IF(NOT(R56=""),R56+1,""))</f>
      </c>
      <c r="T56" s="53">
        <f>IF(WEEKDAY(DATE(YEAR(Y53),MONTH(Y53),DAY(1)),1)=3,DATE(YEAR(Y53),MONTH(Y53),DAY(1)),IF(NOT(S56=""),S56+1,""))</f>
      </c>
      <c r="U56" s="53">
        <f>IF(WEEKDAY(DATE(YEAR(Y53),MONTH(Y53),DAY(1)),1)=4,DATE(YEAR(Y53),MONTH(Y53),DAY(1)),IF(NOT(T56=""),T56+1,""))</f>
        <v>45658</v>
      </c>
      <c r="V56" s="53">
        <f>IF(WEEKDAY(DATE(YEAR(Y53),MONTH(Y53),DAY(1)),1)=5,DATE(YEAR(Y53),MONTH(Y53),DAY(1)),IF(NOT(U56=""),U56+1,""))</f>
        <v>45659</v>
      </c>
      <c r="W56" s="53">
        <f>IF(WEEKDAY(DATE(YEAR(Y53),MONTH(Y53),DAY(1)),1)=6,DATE(YEAR(Y53),MONTH(Y53),DAY(1)),IF(NOT(V56=""),V56+1,""))</f>
        <v>45660</v>
      </c>
      <c r="X56" s="53">
        <f>IF(WEEKDAY(DATE(YEAR(Y53),MONTH(Y53),DAY(1)),1)=7,DATE(YEAR(Y53),MONTH(Y53),DAY(1)),DATE(YEAR(W56),MONTH(W56),DAY(W56+1)))</f>
        <v>45661</v>
      </c>
      <c r="Y56" s="55"/>
      <c r="Z56" s="55"/>
      <c r="AA56" s="55"/>
    </row>
    <row r="57" spans="1:27" ht="30" customHeight="1">
      <c r="A57" s="54"/>
      <c r="B57" s="60">
        <f aca="true" t="shared" si="72" ref="B57:G57">IF(B56="","",IF(ISNA(VLOOKUP(B56,$J$70:$L$124,3,FALSE)),"",VLOOKUP(B56,$J$70:$L$124,3,FALSE)))</f>
      </c>
      <c r="C57" s="61">
        <f t="shared" si="72"/>
      </c>
      <c r="D57" s="60">
        <f t="shared" si="72"/>
      </c>
      <c r="E57" s="60">
        <f t="shared" si="72"/>
      </c>
      <c r="F57" s="60">
        <f t="shared" si="72"/>
      </c>
      <c r="G57" s="60">
        <f t="shared" si="72"/>
      </c>
      <c r="H57" s="60">
        <f>IF(ISNA(VLOOKUP(H56,$J$70:$L$124,3,FALSE)),"",VLOOKUP(H56,$J$70:$L$124,3,FALSE))</f>
      </c>
      <c r="I57" s="54"/>
      <c r="J57" s="60">
        <f aca="true" t="shared" si="73" ref="J57:O57">IF(J56="","",IF(ISNA(VLOOKUP(J56,$J$70:$L$124,3,FALSE)),"",VLOOKUP(J56,$J$70:$L$124,3,FALSE)))</f>
      </c>
      <c r="K57" s="60">
        <f t="shared" si="73"/>
      </c>
      <c r="L57" s="60">
        <f t="shared" si="73"/>
      </c>
      <c r="M57" s="60">
        <f t="shared" si="73"/>
      </c>
      <c r="N57" s="60">
        <f t="shared" si="73"/>
      </c>
      <c r="O57" s="60">
        <f t="shared" si="73"/>
      </c>
      <c r="P57" s="60">
        <f>IF(ISNA(VLOOKUP(P56,$J$70:$L$124,3,FALSE)),"",VLOOKUP(P56,$J$70:$L$124,3,FALSE))</f>
      </c>
      <c r="Q57" s="54"/>
      <c r="R57" s="60">
        <f aca="true" t="shared" si="74" ref="R57:W57">IF(R56="","",IF(ISNA(VLOOKUP(R56,$J$70:$L$124,3,FALSE)),"",VLOOKUP(R56,$J$70:$L$124,3,FALSE)))</f>
      </c>
      <c r="S57" s="60">
        <f t="shared" si="74"/>
      </c>
      <c r="T57" s="60">
        <f t="shared" si="74"/>
      </c>
      <c r="U57" s="60">
        <f t="shared" si="74"/>
      </c>
      <c r="V57" s="60">
        <f t="shared" si="74"/>
      </c>
      <c r="W57" s="60">
        <f t="shared" si="74"/>
      </c>
      <c r="X57" s="60">
        <f>IF(ISNA(VLOOKUP(X56,$J$70:$L$124,3,FALSE)),"",VLOOKUP(X56,$J$70:$L$124,3,FALSE))</f>
      </c>
      <c r="Y57" s="55"/>
      <c r="Z57" s="55"/>
      <c r="AA57" s="55"/>
    </row>
    <row r="58" spans="1:27" ht="13.5" customHeight="1">
      <c r="A58" s="54"/>
      <c r="B58" s="53">
        <f>DATE(YEAR(H56),MONTH(H56),DAY(H56+1))</f>
        <v>45599</v>
      </c>
      <c r="C58" s="53">
        <f aca="true" t="shared" si="75" ref="C58:H58">DATE(YEAR(B58),MONTH(B58),DAY(B58+1))</f>
        <v>45600</v>
      </c>
      <c r="D58" s="53">
        <f t="shared" si="75"/>
        <v>45601</v>
      </c>
      <c r="E58" s="53">
        <f t="shared" si="75"/>
        <v>45602</v>
      </c>
      <c r="F58" s="53">
        <f t="shared" si="75"/>
        <v>45603</v>
      </c>
      <c r="G58" s="53">
        <f t="shared" si="75"/>
        <v>45604</v>
      </c>
      <c r="H58" s="53">
        <f t="shared" si="75"/>
        <v>45605</v>
      </c>
      <c r="I58" s="54"/>
      <c r="J58" s="53">
        <f>DATE(YEAR(P56),MONTH(P56),DAY(P56+1))</f>
        <v>45634</v>
      </c>
      <c r="K58" s="53">
        <f aca="true" t="shared" si="76" ref="K58:P58">DATE(YEAR(J58),MONTH(J58),DAY(J58+1))</f>
        <v>45635</v>
      </c>
      <c r="L58" s="53">
        <f t="shared" si="76"/>
        <v>45636</v>
      </c>
      <c r="M58" s="53">
        <f t="shared" si="76"/>
        <v>45637</v>
      </c>
      <c r="N58" s="53">
        <f t="shared" si="76"/>
        <v>45638</v>
      </c>
      <c r="O58" s="53">
        <f t="shared" si="76"/>
        <v>45639</v>
      </c>
      <c r="P58" s="53">
        <f t="shared" si="76"/>
        <v>45640</v>
      </c>
      <c r="Q58" s="54"/>
      <c r="R58" s="53">
        <f>DATE(YEAR(X56),MONTH(X56),DAY(X56+1))</f>
        <v>45662</v>
      </c>
      <c r="S58" s="53">
        <f aca="true" t="shared" si="77" ref="S58:X58">DATE(YEAR(R58),MONTH(R58),DAY(R58+1))</f>
        <v>45663</v>
      </c>
      <c r="T58" s="53">
        <f t="shared" si="77"/>
        <v>45664</v>
      </c>
      <c r="U58" s="53">
        <f t="shared" si="77"/>
        <v>45665</v>
      </c>
      <c r="V58" s="53">
        <f t="shared" si="77"/>
        <v>45666</v>
      </c>
      <c r="W58" s="53">
        <f t="shared" si="77"/>
        <v>45667</v>
      </c>
      <c r="X58" s="53">
        <f t="shared" si="77"/>
        <v>45668</v>
      </c>
      <c r="Y58" s="55"/>
      <c r="Z58" s="55"/>
      <c r="AA58" s="55"/>
    </row>
    <row r="59" spans="1:27" ht="30" customHeight="1">
      <c r="A59" s="54"/>
      <c r="B59" s="62">
        <f aca="true" t="shared" si="78" ref="B59:H59">IF(ISNA(VLOOKUP(B58,$J$70:$L$124,3,FALSE)),"",VLOOKUP(B58,$J$70:$L$124,3,FALSE))</f>
      </c>
      <c r="C59" s="62" t="str">
        <f t="shared" si="78"/>
        <v>Bunka no hi 
(Culture Day)</v>
      </c>
      <c r="D59" s="62">
        <f t="shared" si="78"/>
      </c>
      <c r="E59" s="62">
        <f t="shared" si="78"/>
      </c>
      <c r="F59" s="62">
        <f t="shared" si="78"/>
      </c>
      <c r="G59" s="62">
        <f t="shared" si="78"/>
      </c>
      <c r="H59" s="62">
        <f t="shared" si="78"/>
      </c>
      <c r="I59" s="54"/>
      <c r="J59" s="62">
        <f aca="true" t="shared" si="79" ref="J59:P59">IF(ISNA(VLOOKUP(J58,$J$70:$L$124,3,FALSE)),"",VLOOKUP(J58,$J$70:$L$124,3,FALSE))</f>
      </c>
      <c r="K59" s="62">
        <f t="shared" si="79"/>
      </c>
      <c r="L59" s="62">
        <f t="shared" si="79"/>
      </c>
      <c r="M59" s="62">
        <f t="shared" si="79"/>
      </c>
      <c r="N59" s="62">
        <f t="shared" si="79"/>
      </c>
      <c r="O59" s="62">
        <f t="shared" si="79"/>
      </c>
      <c r="P59" s="62">
        <f t="shared" si="79"/>
      </c>
      <c r="Q59" s="54"/>
      <c r="R59" s="62">
        <f aca="true" t="shared" si="80" ref="R59:X59">IF(ISNA(VLOOKUP(R58,$J$70:$L$124,3,FALSE)),"",VLOOKUP(R58,$J$70:$L$124,3,FALSE))</f>
      </c>
      <c r="S59" s="62">
        <f t="shared" si="80"/>
      </c>
      <c r="T59" s="62">
        <f t="shared" si="80"/>
      </c>
      <c r="U59" s="62">
        <f t="shared" si="80"/>
      </c>
      <c r="V59" s="62">
        <f t="shared" si="80"/>
      </c>
      <c r="W59" s="62">
        <f t="shared" si="80"/>
      </c>
      <c r="X59" s="62">
        <f t="shared" si="80"/>
      </c>
      <c r="Y59" s="55"/>
      <c r="Z59" s="55"/>
      <c r="AA59" s="55"/>
    </row>
    <row r="60" spans="1:27" ht="13.5" customHeight="1">
      <c r="A60" s="54"/>
      <c r="B60" s="53">
        <f>DATE(YEAR(H58),MONTH(H58),DAY(H58+1))</f>
        <v>45606</v>
      </c>
      <c r="C60" s="53">
        <f aca="true" t="shared" si="81" ref="C60:H60">DATE(YEAR(B60),MONTH(B60),DAY(B60+1))</f>
        <v>45607</v>
      </c>
      <c r="D60" s="53">
        <f t="shared" si="81"/>
        <v>45608</v>
      </c>
      <c r="E60" s="53">
        <f t="shared" si="81"/>
        <v>45609</v>
      </c>
      <c r="F60" s="53">
        <f t="shared" si="81"/>
        <v>45610</v>
      </c>
      <c r="G60" s="53">
        <f t="shared" si="81"/>
        <v>45611</v>
      </c>
      <c r="H60" s="53">
        <f t="shared" si="81"/>
        <v>45612</v>
      </c>
      <c r="I60" s="54"/>
      <c r="J60" s="53">
        <f>DATE(YEAR(P58),MONTH(P58),DAY(P58+1))</f>
        <v>45641</v>
      </c>
      <c r="K60" s="53">
        <f aca="true" t="shared" si="82" ref="K60:P60">DATE(YEAR(J60),MONTH(J60),DAY(J60+1))</f>
        <v>45642</v>
      </c>
      <c r="L60" s="53">
        <f t="shared" si="82"/>
        <v>45643</v>
      </c>
      <c r="M60" s="53">
        <f t="shared" si="82"/>
        <v>45644</v>
      </c>
      <c r="N60" s="53">
        <f t="shared" si="82"/>
        <v>45645</v>
      </c>
      <c r="O60" s="53">
        <f t="shared" si="82"/>
        <v>45646</v>
      </c>
      <c r="P60" s="53">
        <f t="shared" si="82"/>
        <v>45647</v>
      </c>
      <c r="Q60" s="54"/>
      <c r="R60" s="53">
        <f>DATE(YEAR(X58),MONTH(X58),DAY(X58+1))</f>
        <v>45669</v>
      </c>
      <c r="S60" s="53">
        <f aca="true" t="shared" si="83" ref="S60:X60">DATE(YEAR(R60),MONTH(R60),DAY(R60+1))</f>
        <v>45670</v>
      </c>
      <c r="T60" s="53">
        <f t="shared" si="83"/>
        <v>45671</v>
      </c>
      <c r="U60" s="53">
        <f t="shared" si="83"/>
        <v>45672</v>
      </c>
      <c r="V60" s="53">
        <f t="shared" si="83"/>
        <v>45673</v>
      </c>
      <c r="W60" s="53">
        <f t="shared" si="83"/>
        <v>45674</v>
      </c>
      <c r="X60" s="53">
        <f t="shared" si="83"/>
        <v>45675</v>
      </c>
      <c r="Y60" s="55"/>
      <c r="Z60" s="55"/>
      <c r="AA60" s="55"/>
    </row>
    <row r="61" spans="1:27" ht="30" customHeight="1">
      <c r="A61" s="54"/>
      <c r="B61" s="62">
        <f aca="true" t="shared" si="84" ref="B61:H61">IF(ISNA(VLOOKUP(B60,$J$70:$L$124,3,FALSE)),"",VLOOKUP(B60,$J$70:$L$124,3,FALSE))</f>
      </c>
      <c r="C61" s="62">
        <f t="shared" si="84"/>
      </c>
      <c r="D61" s="62">
        <f t="shared" si="84"/>
      </c>
      <c r="E61" s="62">
        <f t="shared" si="84"/>
      </c>
      <c r="F61" s="62">
        <f t="shared" si="84"/>
      </c>
      <c r="G61" s="62">
        <f t="shared" si="84"/>
      </c>
      <c r="H61" s="62">
        <f t="shared" si="84"/>
      </c>
      <c r="I61" s="54"/>
      <c r="J61" s="62">
        <f aca="true" t="shared" si="85" ref="J61:P61">IF(ISNA(VLOOKUP(J60,$J$70:$L$124,3,FALSE)),"",VLOOKUP(J60,$J$70:$L$124,3,FALSE))</f>
      </c>
      <c r="K61" s="62">
        <f t="shared" si="85"/>
      </c>
      <c r="L61" s="62">
        <f t="shared" si="85"/>
      </c>
      <c r="M61" s="62">
        <f t="shared" si="85"/>
      </c>
      <c r="N61" s="62">
        <f t="shared" si="85"/>
      </c>
      <c r="O61" s="62">
        <f t="shared" si="85"/>
      </c>
      <c r="P61" s="62">
        <f t="shared" si="85"/>
      </c>
      <c r="Q61" s="54"/>
      <c r="R61" s="62">
        <f aca="true" t="shared" si="86" ref="R61:X61">IF(ISNA(VLOOKUP(R60,$J$70:$L$124,3,FALSE)),"",VLOOKUP(R60,$J$70:$L$124,3,FALSE))</f>
      </c>
      <c r="S61" s="62" t="str">
        <f t="shared" si="86"/>
        <v>Seijin no hi 
(Coming of Age Day)</v>
      </c>
      <c r="T61" s="62">
        <f t="shared" si="86"/>
      </c>
      <c r="U61" s="62">
        <f t="shared" si="86"/>
      </c>
      <c r="V61" s="62">
        <f t="shared" si="86"/>
      </c>
      <c r="W61" s="62">
        <f t="shared" si="86"/>
      </c>
      <c r="X61" s="62">
        <f t="shared" si="86"/>
      </c>
      <c r="Y61" s="55"/>
      <c r="Z61" s="55"/>
      <c r="AA61" s="55"/>
    </row>
    <row r="62" spans="1:27" ht="13.5" customHeight="1">
      <c r="A62" s="54"/>
      <c r="B62" s="53">
        <f>DATE(YEAR(H60),MONTH(H60),DAY(H60+1))</f>
        <v>45613</v>
      </c>
      <c r="C62" s="53">
        <f aca="true" t="shared" si="87" ref="C62:H62">DATE(YEAR(B62),MONTH(B62),DAY(B62+1))</f>
        <v>45614</v>
      </c>
      <c r="D62" s="53">
        <f t="shared" si="87"/>
        <v>45615</v>
      </c>
      <c r="E62" s="53">
        <f t="shared" si="87"/>
        <v>45616</v>
      </c>
      <c r="F62" s="53">
        <f t="shared" si="87"/>
        <v>45617</v>
      </c>
      <c r="G62" s="53">
        <f t="shared" si="87"/>
        <v>45618</v>
      </c>
      <c r="H62" s="53">
        <f t="shared" si="87"/>
        <v>45619</v>
      </c>
      <c r="I62" s="54"/>
      <c r="J62" s="53">
        <f>DATE(YEAR(P60),MONTH(P60),DAY(P60+1))</f>
        <v>45648</v>
      </c>
      <c r="K62" s="53">
        <f aca="true" t="shared" si="88" ref="K62:P62">DATE(YEAR(J62),MONTH(J62),DAY(J62+1))</f>
        <v>45649</v>
      </c>
      <c r="L62" s="53">
        <f t="shared" si="88"/>
        <v>45650</v>
      </c>
      <c r="M62" s="53">
        <f t="shared" si="88"/>
        <v>45651</v>
      </c>
      <c r="N62" s="53">
        <f t="shared" si="88"/>
        <v>45652</v>
      </c>
      <c r="O62" s="53">
        <f t="shared" si="88"/>
        <v>45653</v>
      </c>
      <c r="P62" s="53">
        <f t="shared" si="88"/>
        <v>45654</v>
      </c>
      <c r="Q62" s="54"/>
      <c r="R62" s="53">
        <f>DATE(YEAR(X60),MONTH(X60),DAY(X60+1))</f>
        <v>45676</v>
      </c>
      <c r="S62" s="53">
        <f aca="true" t="shared" si="89" ref="S62:X62">DATE(YEAR(R62),MONTH(R62),DAY(R62+1))</f>
        <v>45677</v>
      </c>
      <c r="T62" s="53">
        <f t="shared" si="89"/>
        <v>45678</v>
      </c>
      <c r="U62" s="53">
        <f t="shared" si="89"/>
        <v>45679</v>
      </c>
      <c r="V62" s="53">
        <f t="shared" si="89"/>
        <v>45680</v>
      </c>
      <c r="W62" s="53">
        <f t="shared" si="89"/>
        <v>45681</v>
      </c>
      <c r="X62" s="53">
        <f t="shared" si="89"/>
        <v>45682</v>
      </c>
      <c r="Y62" s="55"/>
      <c r="Z62" s="55"/>
      <c r="AA62" s="55"/>
    </row>
    <row r="63" spans="1:27" ht="30" customHeight="1">
      <c r="A63" s="54"/>
      <c r="B63" s="62">
        <f aca="true" t="shared" si="90" ref="B63:H63">IF(ISNA(VLOOKUP(B62,$J$70:$L$124,3,FALSE)),"",VLOOKUP(B62,$J$70:$L$124,3,FALSE))</f>
      </c>
      <c r="C63" s="62">
        <f t="shared" si="90"/>
      </c>
      <c r="D63" s="62">
        <f t="shared" si="90"/>
      </c>
      <c r="E63" s="62">
        <f t="shared" si="90"/>
      </c>
      <c r="F63" s="62">
        <f t="shared" si="90"/>
      </c>
      <c r="G63" s="62">
        <f t="shared" si="90"/>
      </c>
      <c r="H63" s="62" t="str">
        <f t="shared" si="90"/>
        <v>Kinrou kansha no hi
(Labor Thanksgiving Day)</v>
      </c>
      <c r="I63" s="54"/>
      <c r="J63" s="62">
        <f aca="true" t="shared" si="91" ref="J63:P63">IF(ISNA(VLOOKUP(J62,$J$70:$L$124,3,FALSE)),"",VLOOKUP(J62,$J$70:$L$124,3,FALSE))</f>
      </c>
      <c r="K63" s="62" t="str">
        <f t="shared" si="91"/>
        <v>Tennou tanjoubi (Emperor's Birthday) - Dec 23 observed
(offices closed)</v>
      </c>
      <c r="L63" s="62">
        <f t="shared" si="91"/>
      </c>
      <c r="M63" s="62">
        <f t="shared" si="91"/>
      </c>
      <c r="N63" s="62">
        <f t="shared" si="91"/>
      </c>
      <c r="O63" s="62">
        <f t="shared" si="91"/>
      </c>
      <c r="P63" s="62">
        <f t="shared" si="91"/>
      </c>
      <c r="Q63" s="54"/>
      <c r="R63" s="62">
        <f aca="true" t="shared" si="92" ref="R63:X63">IF(ISNA(VLOOKUP(R62,$J$70:$L$124,3,FALSE)),"",VLOOKUP(R62,$J$70:$L$124,3,FALSE))</f>
      </c>
      <c r="S63" s="62">
        <f t="shared" si="92"/>
      </c>
      <c r="T63" s="62">
        <f t="shared" si="92"/>
      </c>
      <c r="U63" s="62">
        <f t="shared" si="92"/>
      </c>
      <c r="V63" s="62">
        <f t="shared" si="92"/>
      </c>
      <c r="W63" s="62">
        <f t="shared" si="92"/>
      </c>
      <c r="X63" s="62">
        <f t="shared" si="92"/>
      </c>
      <c r="Y63" s="55"/>
      <c r="Z63" s="55"/>
      <c r="AA63" s="55"/>
    </row>
    <row r="64" spans="1:27" ht="13.5" customHeight="1">
      <c r="A64" s="54"/>
      <c r="B64" s="53">
        <f>IF(DAY(H56+22)=1,"",DATE(YEAR(H56),MONTH(H56),DAY(H56+22)))</f>
        <v>45620</v>
      </c>
      <c r="C64" s="53">
        <f>IF(OR(DAY(H56+22)=1,DAY(H56+23)=1),"",IF(OR(NOT(MONTH(B53)=2),AND(MONTH(B53)=2,OR(MOD(YEAR(B53),400)=0,AND(MOD(YEAR(B53),4)=0,MOD(YEAR(B53),100)&lt;&gt;0)))),DATE(YEAR(B64),MONTH(B64),DAY(B64+1)),IF(AND(MONTH(B53)=2,OR(C56="",D56="")),DATE(YEAR(B64),MONTH(B64),DAY(B64+1)),"")))</f>
        <v>45621</v>
      </c>
      <c r="D64" s="53">
        <f>IF(OR(DAY(H56+22)=1,DAY(H56+23)=1,DAY(H56+24)=1),"",IF(OR(NOT(MONTH(B53)=2),AND(MONTH(B53)=2,OR(MOD(YEAR(B53),400)=0,AND(MOD(YEAR(B53),4)=0,MOD(YEAR(B53),100)&lt;&gt;0)))),DATE(YEAR(C64),MONTH(C64),DAY(C64+1)),IF(AND(MONTH(B53)=2,OR(C56="",D56="")),DATE(YEAR(C64),MONTH(C64),DAY(C64+1)),"")))</f>
        <v>45622</v>
      </c>
      <c r="E64" s="53">
        <f>IF(OR(DAY(H56+22)=1,DAY(H56+23)=1,DAY(H56+24)=1,DAY(H56+25)=1),"",IF(OR(NOT(MONTH(B53)=2),AND(MONTH(B53)=2,OR(MOD(YEAR(B53),400)=0,AND(MOD(YEAR(B53),4)=0,MOD(YEAR(B53),100)&lt;&gt;0)))),DATE(YEAR(D64),MONTH(D64),DAY(D64+1)),IF(AND(MONTH(B53)=2,OR(C56="",D56="")),DATE(YEAR(D64),MONTH(D64),DAY(D64+1)),"")))</f>
        <v>45623</v>
      </c>
      <c r="F64" s="53">
        <f>IF(OR(DAY(H56+22)=1,DAY(H56+23)=1,DAY(H56+24)=1,DAY(H56+25)=1,DAY(H56+26)=1),"",IF(OR(NOT(MONTH(B53)=2),AND(MONTH(B53)=2,OR(MOD(YEAR(B53),400)=0,AND(MOD(YEAR(B53),4)=0,MOD(YEAR(B53),100)&lt;&gt;0)))),DATE(YEAR(E64),MONTH(E64),DAY(E64+1)),IF(AND(MONTH(B53)=2,OR(C56="",D56="")),DATE(YEAR(E64),MONTH(E64),DAY(E64+1)),"")))</f>
        <v>45624</v>
      </c>
      <c r="G64" s="53">
        <f>IF(OR(DAY(H56+22)=1,DAY(H56+23)=1,DAY(H56+24)=1,DAY(H56+25)=1,DAY(H56+26)=1,DAY(H56+27)=1),"",IF(OR(NOT(MONTH(B53)=2),AND(MONTH(B53)=2,OR(MOD(YEAR(B53),400)=0,AND(MOD(YEAR(B53),4)=0,MOD(YEAR(B53),100)&lt;&gt;0)))),DATE(YEAR(F64),MONTH(F64),DAY(F64+1)),IF(AND(MONTH(B53)=2,OR(C56="",D56="")),DATE(YEAR(F64),MONTH(F64),DAY(F64+1)),"")))</f>
        <v>45625</v>
      </c>
      <c r="H64" s="53">
        <f>IF(OR(DAY(H56+22)=1,DAY(H56+23)=1,DAY(H56+24)=1,DAY(H56+25)=1,DAY(H56+26)=1,DAY(H56+27)=1,DAY(H56+28)=1),"",IF(OR(NOT(MONTH(B53)=2),AND(MONTH(B53)=2,OR(MOD(YEAR(B53),400)=0,AND(MOD(YEAR(B53),4)=0,MOD(YEAR(B53),100)&lt;&gt;0)))),DATE(YEAR(G64),MONTH(G64),DAY(G64+1)),IF(AND(MONTH(B53)=2,OR(C56="",D56="")),DATE(YEAR(G64),MONTH(G64),DAY(G64+1)),"")))</f>
        <v>45626</v>
      </c>
      <c r="I64" s="54"/>
      <c r="J64" s="53">
        <f>IF(DAY(P56+22)=1,"",DATE(YEAR(P56),MONTH(P56),DAY(P56+22)))</f>
        <v>45655</v>
      </c>
      <c r="K64" s="53">
        <f>IF(OR(DAY(H56+22)=1,DAY(P56+23)=1),"",IF(OR(NOT(MONTH(J53)=2),AND(MONTH(J53)=2,OR(MOD(YEAR(J53),400)=0,AND(MOD(YEAR(J53),4)=0,MOD(YEAR(J53),100)&lt;&gt;0)))),DATE(YEAR(J64),MONTH(J64),DAY(J64+1)),IF(AND(MONTH(J53)=2,OR(K56="",L56="")),DATE(YEAR(J64),MONTH(J64),DAY(J64+1)),"")))</f>
        <v>45656</v>
      </c>
      <c r="L64" s="53">
        <f>IF(OR(DAY(H56+22)=1,DAY(P56+23)=1,DAY(P56+24)=1),"",IF(OR(NOT(MONTH(J53)=2),AND(MONTH(J53)=2,OR(MOD(YEAR(J53),400)=0,AND(MOD(YEAR(J53),4)=0,MOD(YEAR(J53),100)&lt;&gt;0)))),DATE(YEAR(K64),MONTH(K64),DAY(K64+1)),IF(AND(MONTH(J53)=2,OR(K56="",L56="")),DATE(YEAR(K64),MONTH(K64),DAY(K64+1)),"")))</f>
        <v>45657</v>
      </c>
      <c r="M64" s="53">
        <f>IF(OR(DAY(H56+22)=1,DAY(P56+23)=1,DAY(P56+24)=1,DAY(P56+25)=1),"",IF(OR(NOT(MONTH(J53)=2),AND(MONTH(J53)=2,OR(MOD(YEAR(J53),400)=0,AND(MOD(YEAR(J53),4)=0,MOD(YEAR(J53),100)&lt;&gt;0)))),DATE(YEAR(L64),MONTH(L64),DAY(L64+1)),IF(AND(MONTH(J53)=2,OR(K56="",L56="")),DATE(YEAR(L64),MONTH(L64),DAY(L64+1)),"")))</f>
      </c>
      <c r="N64" s="53">
        <f>IF(OR(DAY(H56+22)=1,DAY(P56+23)=1,DAY(P56+24)=1,DAY(P56+25)=1,DAY(P56+26)=1),"",IF(OR(NOT(MONTH(J53)=2),AND(MONTH(J53)=2,OR(MOD(YEAR(J53),400)=0,AND(MOD(YEAR(J53),4)=0,MOD(YEAR(J53),100)&lt;&gt;0)))),DATE(YEAR(M64),MONTH(M64),DAY(M64+1)),IF(AND(MONTH(J53)=2,OR(K56="",L56="")),DATE(YEAR(M64),MONTH(M64),DAY(M64+1)),"")))</f>
      </c>
      <c r="O64" s="53">
        <f>IF(OR(DAY(H56+22)=1,DAY(P56+23)=1,DAY(P56+24)=1,DAY(P56+25)=1,DAY(P56+26)=1,DAY(P56+27)=1),"",IF(OR(NOT(MONTH(J53)=2),AND(MONTH(J53)=2,OR(MOD(YEAR(J53),400)=0,AND(MOD(YEAR(J53),4)=0,MOD(YEAR(J53),100)&lt;&gt;0)))),DATE(YEAR(N64),MONTH(N64),DAY(N64+1)),IF(AND(MONTH(J53)=2,OR(K56="",L56="")),DATE(YEAR(N64),MONTH(N64),DAY(N64+1)),"")))</f>
      </c>
      <c r="P64" s="53">
        <f>IF(OR(DAY(H56+22)=1,DAY(P56+23)=1,DAY(P56+24)=1,DAY(P56+25)=1,DAY(P56+26)=1,DAY(P56+27)=1,DAY(P56+28)=1),"",IF(OR(NOT(MONTH(J53)=2),AND(MONTH(J53)=2,OR(MOD(YEAR(J53),400)=0,AND(MOD(YEAR(J53),4)=0,MOD(YEAR(J53),100)&lt;&gt;0)))),DATE(YEAR(O64),MONTH(O64),DAY(O64+1)),IF(AND(MONTH(J53)=2,OR(K56="",L56="")),DATE(YEAR(O64),MONTH(O64),DAY(O64+1)),"")))</f>
      </c>
      <c r="Q64" s="54"/>
      <c r="R64" s="53">
        <f>IF(DAY(X56+22)=1,"",DATE(YEAR(X56),MONTH(X56),DAY(X56+22)))</f>
        <v>45683</v>
      </c>
      <c r="S64" s="53">
        <f>IF(OR(DAY(X56+22)=1,DAY(X56+23)=1),"",IF(OR(NOT(MONTH(R53)=2),AND(MONTH(R53)=2,OR(MOD(YEAR(R53),400)=0,AND(MOD(YEAR(R53),4)=0,MOD(YEAR(R53),100)&lt;&gt;0)))),DATE(YEAR(R64),MONTH(R64),DAY(R64+1)),IF(AND(MONTH(R53)=2,OR(S56="",T56="")),DATE(YEAR(R64),MONTH(R64),DAY(R64+1)),"")))</f>
        <v>45684</v>
      </c>
      <c r="T64" s="53">
        <f>IF(OR(DAY(X56+22)=1,DAY(X56+23)=1,DAY(X56+24)=1),"",IF(OR(NOT(MONTH(R53)=2),AND(MONTH(R53)=2,OR(MOD(YEAR(R53),400)=0,AND(MOD(YEAR(R53),4)=0,MOD(YEAR(R53),100)&lt;&gt;0)))),DATE(YEAR(S64),MONTH(S64),DAY(S64+1)),IF(AND(MONTH(R53)=2,OR(S56="",T56="")),DATE(YEAR(S64),MONTH(S64),DAY(S64+1)),"")))</f>
        <v>45685</v>
      </c>
      <c r="U64" s="53">
        <f>IF(OR(DAY(X56+22)=1,DAY(X56+23)=1,DAY(X56+24)=1,DAY(X56+25)=1),"",IF(OR(NOT(MONTH(R53)=2),AND(MONTH(R53)=2,OR(MOD(YEAR(R53),400)=0,AND(MOD(YEAR(R53),4)=0,MOD(YEAR(R53),100)&lt;&gt;0)))),DATE(YEAR(T64),MONTH(T64),DAY(T64+1)),IF(AND(MONTH(R53)=2,OR(S56="",T56="")),DATE(YEAR(T64),MONTH(T64),DAY(T64+1)),"")))</f>
        <v>45686</v>
      </c>
      <c r="V64" s="53">
        <f>IF(OR(DAY(X56+22)=1,DAY(X56+23)=1,DAY(X56+24)=1,DAY(X56+25)=1,DAY(X56+26)=1),"",IF(OR(NOT(MONTH(R53)=2),AND(MONTH(R53)=2,OR(MOD(YEAR(R53),400)=0,AND(MOD(YEAR(R53),4)=0,MOD(YEAR(R53),100)&lt;&gt;0)))),DATE(YEAR(U64),MONTH(U64),DAY(U64+1)),IF(AND(MONTH(R53)=2,OR(S56="",T56="")),DATE(YEAR(U64),MONTH(U64),DAY(U64+1)),"")))</f>
        <v>45687</v>
      </c>
      <c r="W64" s="53">
        <f>IF(OR(DAY(X56+22)=1,DAY(X56+23)=1,DAY(X56+24)=1,DAY(X56+25)=1,DAY(X56+26)=1,DAY(X56+27)=1),"",IF(OR(NOT(MONTH(R53)=2),AND(MONTH(R53)=2,OR(MOD(YEAR(R53),400)=0,AND(MOD(YEAR(R53),4)=0,MOD(YEAR(R53),100)&lt;&gt;0)))),DATE(YEAR(V64),MONTH(V64),DAY(V64+1)),IF(AND(MONTH(R53)=2,OR(S56="",T56="")),DATE(YEAR(V64),MONTH(V64),DAY(V64+1)),"")))</f>
        <v>45688</v>
      </c>
      <c r="X64" s="53">
        <f>IF(OR(DAY(X56+22)=1,DAY(X56+23)=1,DAY(X56+24)=1,DAY(X56+25)=1,DAY(X56+26)=1,DAY(X56+27)=1,DAY(X56+28)=1),"",IF(OR(NOT(MONTH(R53)=2),AND(MONTH(R53)=2,OR(MOD(YEAR(R53),400)=0,AND(MOD(YEAR(R53),4)=0,MOD(YEAR(R53),100)&lt;&gt;0)))),DATE(YEAR(W64),MONTH(W64),DAY(W64+1)),IF(AND(MONTH(R53)=2,OR(S56="",T56="")),DATE(YEAR(W64),MONTH(W64),DAY(W64+1)),"")))</f>
      </c>
      <c r="Y64" s="55"/>
      <c r="Z64" s="55"/>
      <c r="AA64" s="55"/>
    </row>
    <row r="65" spans="1:27" ht="30" customHeight="1">
      <c r="A65" s="54"/>
      <c r="B65" s="56">
        <f aca="true" t="shared" si="93" ref="B65:H65">IF(ISNA(VLOOKUP(B64,$J$70:$L$124,3,FALSE)),"",VLOOKUP(B64,$J$70:$L$124,3,FALSE))</f>
      </c>
      <c r="C65" s="56">
        <f t="shared" si="93"/>
      </c>
      <c r="D65" s="56">
        <f t="shared" si="93"/>
      </c>
      <c r="E65" s="56">
        <f t="shared" si="93"/>
      </c>
      <c r="F65" s="56">
        <f t="shared" si="93"/>
      </c>
      <c r="G65" s="56">
        <f t="shared" si="93"/>
      </c>
      <c r="H65" s="56">
        <f t="shared" si="93"/>
      </c>
      <c r="I65" s="54"/>
      <c r="J65" s="56">
        <f aca="true" t="shared" si="94" ref="J65:P65">IF(ISNA(VLOOKUP(J64,$J$70:$L$124,3,FALSE)),"",VLOOKUP(J64,$J$70:$L$124,3,FALSE))</f>
      </c>
      <c r="K65" s="56">
        <f t="shared" si="94"/>
      </c>
      <c r="L65" s="56">
        <f t="shared" si="94"/>
      </c>
      <c r="M65" s="56" t="str">
        <f t="shared" si="94"/>
        <v>Kokumin no kyujitsu
(Citizen's Holiday)</v>
      </c>
      <c r="N65" s="56" t="str">
        <f t="shared" si="94"/>
        <v>Kokumin no kyujitsu
(Citizen's Holiday)</v>
      </c>
      <c r="O65" s="56" t="str">
        <f t="shared" si="94"/>
        <v>Kokumin no kyujitsu
(Citizen's Holiday)</v>
      </c>
      <c r="P65" s="56" t="str">
        <f t="shared" si="94"/>
        <v>Kokumin no kyujitsu
(Citizen's Holiday)</v>
      </c>
      <c r="Q65" s="54"/>
      <c r="R65" s="56">
        <f aca="true" t="shared" si="95" ref="R65:X65">IF(ISNA(VLOOKUP(R64,$J$70:$L$124,3,FALSE)),"",VLOOKUP(R64,$J$70:$L$124,3,FALSE))</f>
      </c>
      <c r="S65" s="56">
        <f t="shared" si="95"/>
      </c>
      <c r="T65" s="56">
        <f t="shared" si="95"/>
      </c>
      <c r="U65" s="56">
        <f t="shared" si="95"/>
      </c>
      <c r="V65" s="56">
        <f t="shared" si="95"/>
      </c>
      <c r="W65" s="56">
        <f t="shared" si="95"/>
      </c>
      <c r="X65" s="56" t="str">
        <f t="shared" si="95"/>
        <v>Kokumin no kyujitsu
(Citizen's Holiday)</v>
      </c>
      <c r="Y65" s="55"/>
      <c r="Z65" s="55"/>
      <c r="AA65" s="55"/>
    </row>
    <row r="66" spans="1:27" ht="13.5" customHeight="1">
      <c r="A66" s="54"/>
      <c r="B66" s="53">
        <f>IF(OR(DAY(H56+24)=1,DAY(H56+25)=1,DAY(H56+26)=1,DAY(H56+27)=1,DAY(H56+28)=1,DAY(H56+29)=1),"",IF(MONTH(B53)=2,"",DATE(YEAR(H64),MONTH(H64),DAY(H64+1))))</f>
      </c>
      <c r="C66" s="53">
        <f>IF(OR(DAY(H56+24)=1,DAY(H56+25)=1,DAY(H56+26)=1,DAY(H56+27)=1,DAY(H56+28)=1,DAY(H56+29)=1,DAY(H56+30)=1),"",IF(OR(MONTH(B53)=2,MONTH(B53)=4,MONTH(B53)=6,MONTH(B53)=9,MONTH(B53)=11),"",DATE(YEAR(B66),MONTH(B66),DAY(B66+1))))</f>
      </c>
      <c r="I66" s="54"/>
      <c r="J66" s="53">
        <f>IF(OR(DAY(P56+22)=1,DAY(P56+23)=1,DAY(P56+24)=1,DAY(P56+25)=1,DAY(P56+26)=1,DAY(P56+27)=1,DAY(P56+28)=1,DAY(P56+29)=1),"",IF(MONTH(J53)=2,"",DATE(YEAR(P64),MONTH(P64),DAY(P64+1))))</f>
      </c>
      <c r="K66" s="53">
        <f>IF(OR(DAY(P56+22)=1,DAY(P56+23)=1,DAY(P56+24)=1,DAY(P56+25)=1,DAY(P56+26)=1,DAY(P56+27)=1,DAY(P56+28)=1,DAY(P56+29)=1,DAY(P56+30)=1),"",IF(OR(MONTH(J53)=2,MONTH(J53)=4,MONTH(J53)=6,MONTH(J53)=9,MONTH(J53)=11),"",DATE(YEAR(J66),MONTH(J66),DAY(J66+1))))</f>
      </c>
      <c r="Q66" s="54"/>
      <c r="R66" s="53">
        <f>IF(OR(DAY(X56+22)=1,DAY(X56+23)=1,DAY(X56+24)=1,DAY(X56+25)=1,DAY(X56+26)=1,DAY(X56+27)=1,DAY(X56+28)=1,DAY(X56+29)=1),"",IF(MONTH(R53)=2,"",DATE(YEAR(X64),MONTH(X64),DAY(X64+1))))</f>
      </c>
      <c r="S66" s="53">
        <f>IF(OR(DAY(X56+22)=1,DAY(X56+23)=1,DAY(X56+24)=1,DAY(X56+25)=1,DAY(X56+26)=1,DAY(X56+27)=1,DAY(X56+28)=1,DAY(X56+29)=1,DAY(X56+30)=1),"",IF(OR(MONTH(R53)=2,MONTH(R53)=4,MONTH(R53)=6,MONTH(R53)=9,MONTH(R53)=11),"",DATE(YEAR(R66),MONTH(R66),DAY(R66+1))))</f>
      </c>
      <c r="Y66" s="55"/>
      <c r="Z66" s="55"/>
      <c r="AA66" s="55"/>
    </row>
    <row r="67" spans="1:27" ht="30" customHeight="1">
      <c r="A67" s="54"/>
      <c r="B67" s="56">
        <f>IF(B66="","",IF(ISNA(VLOOKUP(B66,$J$70:$L$124,3,FALSE)),"",VLOOKUP(B66,$J$70:$L$124,3,FALSE)))</f>
      </c>
      <c r="C67" s="56">
        <f>IF(C66="","",IF(ISNA(VLOOKUP(C66,$J$70:$L$124,3,FALSE)),"",VLOOKUP(C66,$J$70:$L$124,3,FALSE)))</f>
      </c>
      <c r="I67" s="54"/>
      <c r="J67" s="56">
        <f>IF(J66="","",IF(ISNA(VLOOKUP(J66,$J$70:$L$124,3,FALSE)),"",VLOOKUP(J66,$J$70:$L$124,3,FALSE)))</f>
      </c>
      <c r="K67" s="56">
        <f>IF(K66="","",IF(ISNA(VLOOKUP(K66,$J$70:$L$124,3,FALSE)),"",VLOOKUP(K66,$J$70:$L$124,3,FALSE)))</f>
      </c>
      <c r="Q67" s="54"/>
      <c r="R67" s="56"/>
      <c r="S67" s="56"/>
      <c r="Y67" s="55"/>
      <c r="Z67" s="55"/>
      <c r="AA67" s="55"/>
    </row>
    <row r="68" spans="1:27" ht="9"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row>
    <row r="69" spans="1:27" ht="0.75" customHeight="1" thickBot="1">
      <c r="A69" s="63">
        <v>1</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row>
    <row r="70" spans="1:27" ht="39.75" customHeight="1">
      <c r="A70" s="64"/>
      <c r="B70" s="232">
        <f ca="1">IF($G$3="",IF(MONTH(TODAY())&gt;6,DATE(YEAR(TODAY())+1,MONTH(1),DAY(1)),DATE(YEAR(TODAY()),MONTH(1),DAY(1))),DATE($G$3,1,1))</f>
        <v>45292</v>
      </c>
      <c r="C70" s="232"/>
      <c r="D70" s="209" t="s">
        <v>71</v>
      </c>
      <c r="E70" s="209"/>
      <c r="F70" s="209"/>
      <c r="G70" s="82">
        <f aca="true" t="shared" si="96" ref="G70:G79">IF(B70="","",WEEKDAY(B70))</f>
        <v>2</v>
      </c>
      <c r="H70" s="73"/>
      <c r="I70" s="73"/>
      <c r="J70" s="225">
        <f ca="1">TODAY()</f>
        <v>45343</v>
      </c>
      <c r="K70" s="226"/>
      <c r="L70" s="215" t="s">
        <v>68</v>
      </c>
      <c r="M70" s="215"/>
      <c r="N70" s="215"/>
      <c r="O70" s="94">
        <f aca="true" t="shared" si="97" ref="O70:O101">IF(J70="","",WEEKDAY(J70))</f>
        <v>4</v>
      </c>
      <c r="P70" s="65"/>
      <c r="Q70" s="64"/>
      <c r="R70" s="64"/>
      <c r="S70" s="64"/>
      <c r="T70" s="64"/>
      <c r="U70" s="64"/>
      <c r="V70" s="64"/>
      <c r="W70" s="64"/>
      <c r="X70" s="64"/>
      <c r="Y70" s="64"/>
      <c r="Z70" s="64"/>
      <c r="AA70" s="64"/>
    </row>
    <row r="71" spans="1:27" ht="39.75" customHeight="1">
      <c r="A71" s="64"/>
      <c r="B71" s="229">
        <f>IF(WEEKDAY(P102)=5,P102-3,IF(WEEKDAY(P102)=1,P102+1,IF(WEEKDAY(P102)=3,P102-1,IF(WEEKDAY(P102)=4,P102-2,IF(WEEKDAY(P102)=6,P102-4,IF(WEEKDAY(P102)=7,P102-5,P102))))))</f>
        <v>45670</v>
      </c>
      <c r="C71" s="229"/>
      <c r="D71" s="209" t="s">
        <v>72</v>
      </c>
      <c r="E71" s="209"/>
      <c r="F71" s="209"/>
      <c r="G71" s="82">
        <f t="shared" si="96"/>
        <v>2</v>
      </c>
      <c r="H71" s="73"/>
      <c r="I71" s="73"/>
      <c r="J71" s="211">
        <f ca="1">TODAY()+35</f>
        <v>45378</v>
      </c>
      <c r="K71" s="212"/>
      <c r="L71" s="203" t="s">
        <v>69</v>
      </c>
      <c r="M71" s="204"/>
      <c r="N71" s="204"/>
      <c r="O71" s="95">
        <f t="shared" si="97"/>
        <v>4</v>
      </c>
      <c r="P71" s="66">
        <v>37270</v>
      </c>
      <c r="Q71" s="64"/>
      <c r="R71" s="64"/>
      <c r="S71" s="64"/>
      <c r="T71" s="64"/>
      <c r="U71" s="64"/>
      <c r="V71" s="64"/>
      <c r="W71" s="64"/>
      <c r="X71" s="64"/>
      <c r="Y71" s="64"/>
      <c r="Z71" s="67">
        <f>DATE(YEAR(G3),MONTH(1),DAY(1))</f>
        <v>1</v>
      </c>
      <c r="AA71" s="64"/>
    </row>
    <row r="72" spans="1:27" ht="39.75" customHeight="1">
      <c r="A72" s="64"/>
      <c r="B72" s="229">
        <f>IF(U103=1,DATE(YEAR(P103),MONTH(P103),DAY(P103)+1),P103)</f>
        <v>45334</v>
      </c>
      <c r="C72" s="229"/>
      <c r="D72" s="209" t="s">
        <v>73</v>
      </c>
      <c r="E72" s="209"/>
      <c r="F72" s="209"/>
      <c r="G72" s="82">
        <f t="shared" si="96"/>
        <v>2</v>
      </c>
      <c r="I72" s="73"/>
      <c r="J72" s="211">
        <f aca="true" t="shared" si="98" ref="J72:J81">B70</f>
        <v>45292</v>
      </c>
      <c r="K72" s="212"/>
      <c r="L72" s="203" t="str">
        <f>D70</f>
        <v>Shogatsu 
(New Year's Day)</v>
      </c>
      <c r="M72" s="204"/>
      <c r="N72" s="204"/>
      <c r="O72" s="95">
        <f t="shared" si="97"/>
        <v>2</v>
      </c>
      <c r="P72" s="68">
        <f>IF($G$3="",DATE(YEAR(B71),MONTH(B71)+1,DAY(1)),DATE($G$3,1,31))</f>
        <v>45689</v>
      </c>
      <c r="Q72" s="64"/>
      <c r="R72" s="64"/>
      <c r="S72" s="64"/>
      <c r="T72" s="64"/>
      <c r="U72" s="64"/>
      <c r="V72" s="64"/>
      <c r="W72" s="64"/>
      <c r="X72" s="64"/>
      <c r="Y72" s="64"/>
      <c r="Z72" s="67">
        <f>DATE(G3,1,1)</f>
        <v>1</v>
      </c>
      <c r="AA72" s="64"/>
    </row>
    <row r="73" spans="1:27" ht="39.75" customHeight="1">
      <c r="A73" s="64"/>
      <c r="B73" s="229">
        <f>IF(U104=1,DATE(YEAR(P104),MONTH(P104),DAY(P104)+1),P104)</f>
        <v>45371</v>
      </c>
      <c r="C73" s="230"/>
      <c r="D73" s="209" t="s">
        <v>74</v>
      </c>
      <c r="E73" s="209"/>
      <c r="F73" s="209"/>
      <c r="G73" s="82">
        <f t="shared" si="96"/>
        <v>4</v>
      </c>
      <c r="H73" s="77"/>
      <c r="I73" s="77"/>
      <c r="J73" s="211">
        <f t="shared" si="98"/>
        <v>45670</v>
      </c>
      <c r="K73" s="212"/>
      <c r="L73" s="203" t="str">
        <f aca="true" t="shared" si="99" ref="L73:L81">D71</f>
        <v>Seijin no hi 
(Coming of Age Day)</v>
      </c>
      <c r="M73" s="204"/>
      <c r="N73" s="204"/>
      <c r="O73" s="95">
        <f t="shared" si="97"/>
        <v>2</v>
      </c>
      <c r="P73" s="64"/>
      <c r="Q73" s="64"/>
      <c r="R73" s="64"/>
      <c r="S73" s="64"/>
      <c r="T73" s="64"/>
      <c r="U73" s="64"/>
      <c r="V73" s="64"/>
      <c r="W73" s="64"/>
      <c r="X73" s="64"/>
      <c r="Y73" s="64"/>
      <c r="Z73" s="67">
        <f>DATE(G3,1,1)</f>
        <v>1</v>
      </c>
      <c r="AA73" s="64"/>
    </row>
    <row r="74" spans="1:27" ht="39.75" customHeight="1">
      <c r="A74" s="64"/>
      <c r="B74" s="229">
        <f>IF(U105=1,DATE(YEAR(P105),MONTH(P105),DAY(P105)+1),P105)</f>
        <v>45411</v>
      </c>
      <c r="C74" s="230"/>
      <c r="D74" s="209" t="s">
        <v>89</v>
      </c>
      <c r="E74" s="209"/>
      <c r="F74" s="209"/>
      <c r="G74" s="82">
        <f t="shared" si="96"/>
        <v>2</v>
      </c>
      <c r="H74" s="77"/>
      <c r="I74" s="77"/>
      <c r="J74" s="211">
        <f t="shared" si="98"/>
        <v>45334</v>
      </c>
      <c r="K74" s="212"/>
      <c r="L74" s="203" t="str">
        <f t="shared" si="99"/>
        <v>Kenkoku Kinenbi 
(National Foundation Day)</v>
      </c>
      <c r="M74" s="204"/>
      <c r="N74" s="204"/>
      <c r="O74" s="95">
        <f t="shared" si="97"/>
        <v>2</v>
      </c>
      <c r="P74" s="64"/>
      <c r="Q74" s="64"/>
      <c r="R74" s="64"/>
      <c r="S74" s="64"/>
      <c r="T74" s="64"/>
      <c r="U74" s="64"/>
      <c r="V74" s="64"/>
      <c r="W74" s="64"/>
      <c r="X74" s="64"/>
      <c r="Y74" s="64"/>
      <c r="Z74" s="64"/>
      <c r="AA74" s="64"/>
    </row>
    <row r="75" spans="1:27" ht="39.75" customHeight="1">
      <c r="A75" s="64"/>
      <c r="B75" s="229">
        <f>IF(U107=1,DATE(YEAR(P107),MONTH(P107),DAY(P107)+1),P107)</f>
        <v>45415</v>
      </c>
      <c r="C75" s="229"/>
      <c r="D75" s="209" t="s">
        <v>75</v>
      </c>
      <c r="E75" s="209"/>
      <c r="F75" s="209"/>
      <c r="G75" s="82">
        <f t="shared" si="96"/>
        <v>6</v>
      </c>
      <c r="H75" s="73"/>
      <c r="I75" s="73"/>
      <c r="J75" s="211">
        <f t="shared" si="98"/>
        <v>45371</v>
      </c>
      <c r="K75" s="212"/>
      <c r="L75" s="203" t="str">
        <f t="shared" si="99"/>
        <v>Shunbun no hi 
(Spring Equinox)</v>
      </c>
      <c r="M75" s="204"/>
      <c r="N75" s="204"/>
      <c r="O75" s="95">
        <f t="shared" si="97"/>
        <v>4</v>
      </c>
      <c r="P75" s="66">
        <v>37301</v>
      </c>
      <c r="Q75" s="64"/>
      <c r="R75" s="64"/>
      <c r="S75" s="64"/>
      <c r="T75" s="64"/>
      <c r="U75" s="64"/>
      <c r="V75" s="64"/>
      <c r="W75" s="64"/>
      <c r="X75" s="64"/>
      <c r="Y75" s="64"/>
      <c r="Z75" s="64"/>
      <c r="AA75" s="64"/>
    </row>
    <row r="76" spans="1:27" ht="49.5" customHeight="1">
      <c r="A76" s="91">
        <f ca="1">IF(G3="",DATE(YEAR(TODAY()),5,3),DATE(G3,5,3))</f>
        <v>45415</v>
      </c>
      <c r="B76" s="229">
        <f>IF(OR(WEEKDAY(A76)=7,WEEKDAY(A76)=1),DATE(YEAR(A76),5,6),DATE(YEAR(A76),5,4))</f>
        <v>45416</v>
      </c>
      <c r="C76" s="230"/>
      <c r="D76" s="209" t="s">
        <v>90</v>
      </c>
      <c r="E76" s="209"/>
      <c r="F76" s="209"/>
      <c r="G76" s="82">
        <f t="shared" si="96"/>
        <v>7</v>
      </c>
      <c r="H76" s="78"/>
      <c r="I76" s="78"/>
      <c r="J76" s="211">
        <f t="shared" si="98"/>
        <v>45411</v>
      </c>
      <c r="K76" s="212"/>
      <c r="L76" s="203" t="str">
        <f t="shared" si="99"/>
        <v>Showa no hi</v>
      </c>
      <c r="M76" s="204"/>
      <c r="N76" s="204"/>
      <c r="O76" s="95">
        <f t="shared" si="97"/>
        <v>2</v>
      </c>
      <c r="P76" s="64"/>
      <c r="Q76" s="64"/>
      <c r="R76" s="64"/>
      <c r="S76" s="64"/>
      <c r="T76" s="64"/>
      <c r="U76" s="64"/>
      <c r="V76" s="64"/>
      <c r="W76" s="64"/>
      <c r="X76" s="64"/>
      <c r="Y76" s="64"/>
      <c r="Z76" s="64"/>
      <c r="AA76" s="64"/>
    </row>
    <row r="77" spans="1:27" ht="39.75" customHeight="1">
      <c r="A77" s="64"/>
      <c r="B77" s="229">
        <f>IF(U108=1,DATE(YEAR(P108),MONTH(P108),DAY(P108)+1),P108)</f>
        <v>45418</v>
      </c>
      <c r="C77" s="229"/>
      <c r="D77" s="209" t="s">
        <v>76</v>
      </c>
      <c r="E77" s="209"/>
      <c r="F77" s="209"/>
      <c r="G77" s="82">
        <f t="shared" si="96"/>
        <v>2</v>
      </c>
      <c r="H77" s="73"/>
      <c r="I77" s="73"/>
      <c r="J77" s="211">
        <f t="shared" si="98"/>
        <v>45415</v>
      </c>
      <c r="K77" s="212"/>
      <c r="L77" s="203" t="str">
        <f t="shared" si="99"/>
        <v>Kenpou kinenbi
(Constitution Memorial Day)</v>
      </c>
      <c r="M77" s="204"/>
      <c r="N77" s="204"/>
      <c r="O77" s="95">
        <f t="shared" si="97"/>
        <v>6</v>
      </c>
      <c r="P77" s="66">
        <v>37301</v>
      </c>
      <c r="Q77" s="64"/>
      <c r="R77" s="64"/>
      <c r="S77" s="64"/>
      <c r="T77" s="64"/>
      <c r="U77" s="64"/>
      <c r="V77" s="64"/>
      <c r="W77" s="64"/>
      <c r="X77" s="64"/>
      <c r="Y77" s="64"/>
      <c r="Z77" s="64"/>
      <c r="AA77" s="64"/>
    </row>
    <row r="78" spans="1:27" ht="39.75" customHeight="1">
      <c r="A78" s="64"/>
      <c r="B78" s="229">
        <f>IF(WEEKDAY(P109)=5,P109-3,IF(WEEKDAY(P109)=1,P109+1,IF(WEEKDAY(P109)=3,P109-1,IF(WEEKDAY(P109)=4,P109-2,IF(WEEKDAY(P109)=6,P109-4,IF(WEEKDAY(P109)=7,P109-5,P109))))))</f>
        <v>45488</v>
      </c>
      <c r="C78" s="230"/>
      <c r="D78" s="209" t="s">
        <v>77</v>
      </c>
      <c r="E78" s="209"/>
      <c r="F78" s="209"/>
      <c r="G78" s="82">
        <f t="shared" si="96"/>
        <v>2</v>
      </c>
      <c r="H78" s="77"/>
      <c r="I78" s="77"/>
      <c r="J78" s="211">
        <f t="shared" si="98"/>
        <v>45416</v>
      </c>
      <c r="K78" s="212"/>
      <c r="L78" s="203" t="str">
        <f t="shared" si="99"/>
        <v>Midori no hi
(Nature's Day - declared official holiday unless May 4 fallls on Sunday)</v>
      </c>
      <c r="M78" s="204"/>
      <c r="N78" s="204"/>
      <c r="O78" s="95">
        <f t="shared" si="97"/>
        <v>7</v>
      </c>
      <c r="P78" s="66"/>
      <c r="Q78" s="64"/>
      <c r="R78" s="64"/>
      <c r="S78" s="64"/>
      <c r="T78" s="64"/>
      <c r="U78" s="64"/>
      <c r="V78" s="64"/>
      <c r="W78" s="64"/>
      <c r="X78" s="64"/>
      <c r="Y78" s="64"/>
      <c r="Z78" s="64"/>
      <c r="AA78" s="64"/>
    </row>
    <row r="79" spans="1:27" ht="39.75" customHeight="1">
      <c r="A79" s="64"/>
      <c r="B79" s="229">
        <f>IF(WEEKDAY(P110)=5,P110-3,IF(WEEKDAY(P110)=1,P110+1,IF(WEEKDAY(P110)=3,P110-1,IF(WEEKDAY(P110)=4,P110-2,IF(WEEKDAY(P110)=6,P110-4,IF(WEEKDAY(P110)=7,P110-5,P110))))))</f>
        <v>45551</v>
      </c>
      <c r="C79" s="230"/>
      <c r="D79" s="209" t="s">
        <v>78</v>
      </c>
      <c r="E79" s="209"/>
      <c r="F79" s="209"/>
      <c r="G79" s="82">
        <f t="shared" si="96"/>
        <v>2</v>
      </c>
      <c r="H79" s="79"/>
      <c r="I79" s="79"/>
      <c r="J79" s="211">
        <f t="shared" si="98"/>
        <v>45418</v>
      </c>
      <c r="K79" s="212"/>
      <c r="L79" s="203" t="str">
        <f t="shared" si="99"/>
        <v>Kodomo no hi
(Children's Day)</v>
      </c>
      <c r="M79" s="204"/>
      <c r="N79" s="204"/>
      <c r="O79" s="95">
        <f t="shared" si="97"/>
        <v>2</v>
      </c>
      <c r="Q79" s="64"/>
      <c r="R79" s="64"/>
      <c r="S79" s="64"/>
      <c r="T79" s="64"/>
      <c r="U79" s="64"/>
      <c r="V79" s="64"/>
      <c r="W79" s="64"/>
      <c r="X79" s="64"/>
      <c r="Y79" s="64"/>
      <c r="Z79" s="64"/>
      <c r="AA79" s="64"/>
    </row>
    <row r="80" spans="1:27" ht="39.75" customHeight="1">
      <c r="A80" s="64"/>
      <c r="B80" s="229">
        <f>IF(B81-B79=2,B81-1,"")</f>
      </c>
      <c r="C80" s="230"/>
      <c r="D80" s="209" t="s">
        <v>91</v>
      </c>
      <c r="E80" s="209"/>
      <c r="F80" s="209"/>
      <c r="G80" s="82">
        <f aca="true" t="shared" si="100" ref="G80:G85">IF(B80="","",WEEKDAY(B80))</f>
      </c>
      <c r="H80" s="79"/>
      <c r="I80" s="79"/>
      <c r="J80" s="211">
        <f t="shared" si="98"/>
        <v>45488</v>
      </c>
      <c r="K80" s="212"/>
      <c r="L80" s="203" t="str">
        <f t="shared" si="99"/>
        <v>Umi no hi
(Sea Day)</v>
      </c>
      <c r="M80" s="204"/>
      <c r="N80" s="204"/>
      <c r="O80" s="95">
        <f t="shared" si="97"/>
        <v>2</v>
      </c>
      <c r="P80" s="64"/>
      <c r="Q80" s="144" t="s">
        <v>21</v>
      </c>
      <c r="R80" s="145"/>
      <c r="S80" s="145"/>
      <c r="T80" s="145"/>
      <c r="U80" s="64"/>
      <c r="V80" s="64"/>
      <c r="W80" s="64"/>
      <c r="X80" s="64"/>
      <c r="Y80" s="64"/>
      <c r="Z80" s="64"/>
      <c r="AA80" s="64"/>
    </row>
    <row r="81" spans="1:27" ht="39.75" customHeight="1">
      <c r="A81" s="64"/>
      <c r="B81" s="229">
        <f>IF(U111=1,DATE(YEAR(P111),MONTH(P111),DAY(P111)+1),P111)</f>
        <v>45558</v>
      </c>
      <c r="C81" s="230"/>
      <c r="D81" s="209" t="s">
        <v>79</v>
      </c>
      <c r="E81" s="209"/>
      <c r="F81" s="209"/>
      <c r="G81" s="82">
        <f t="shared" si="100"/>
        <v>2</v>
      </c>
      <c r="H81" s="78"/>
      <c r="I81" s="78"/>
      <c r="J81" s="211">
        <f t="shared" si="98"/>
        <v>45551</v>
      </c>
      <c r="K81" s="212"/>
      <c r="L81" s="203" t="str">
        <f t="shared" si="99"/>
        <v>Keirou no hi
(Respect for the Aged Day)</v>
      </c>
      <c r="M81" s="204"/>
      <c r="N81" s="204"/>
      <c r="O81" s="95">
        <f t="shared" si="97"/>
        <v>2</v>
      </c>
      <c r="P81" s="64"/>
      <c r="Q81" s="64" t="s">
        <v>70</v>
      </c>
      <c r="S81" s="64"/>
      <c r="T81" s="231" t="s">
        <v>59</v>
      </c>
      <c r="U81" s="231"/>
      <c r="V81" s="231"/>
      <c r="W81" s="231"/>
      <c r="X81" s="231"/>
      <c r="Y81" s="231"/>
      <c r="Z81" s="231"/>
      <c r="AA81" s="231"/>
    </row>
    <row r="82" spans="1:27" ht="39.75" customHeight="1">
      <c r="A82" s="64"/>
      <c r="B82" s="227">
        <f>IF(U112=1,DATE(YEAR(P112),MONTH(P112),DAY(P112)+1),P112)</f>
        <v>45579</v>
      </c>
      <c r="C82" s="228"/>
      <c r="D82" s="206" t="s">
        <v>80</v>
      </c>
      <c r="E82" s="207"/>
      <c r="F82" s="208"/>
      <c r="G82" s="82">
        <f t="shared" si="100"/>
        <v>2</v>
      </c>
      <c r="H82" s="80"/>
      <c r="I82" s="80"/>
      <c r="J82" s="211">
        <f aca="true" t="shared" si="101" ref="J82:J87">B80</f>
      </c>
      <c r="K82" s="212"/>
      <c r="L82" s="203" t="str">
        <f aca="true" t="shared" si="102" ref="L82:L87">D80</f>
        <v>Kokumin no kyujitsu
(Citizen's Holiday)</v>
      </c>
      <c r="M82" s="204"/>
      <c r="N82" s="204"/>
      <c r="O82" s="95">
        <f aca="true" t="shared" si="103" ref="O82:O87">IF(J82="","",WEEKDAY(J82))</f>
      </c>
      <c r="P82" s="66">
        <f>IF($G$3="",DATE(YEAR(B82),MONTH(B82),DAY(1))+6,DATE($G$3,4,1)+6)</f>
        <v>45572</v>
      </c>
      <c r="Q82" s="64"/>
      <c r="R82" s="64"/>
      <c r="S82" s="64"/>
      <c r="T82" s="216" t="s">
        <v>60</v>
      </c>
      <c r="U82" s="216"/>
      <c r="V82" s="216"/>
      <c r="W82" s="216"/>
      <c r="X82" s="216"/>
      <c r="Y82" s="216"/>
      <c r="Z82" s="216"/>
      <c r="AA82" s="216"/>
    </row>
    <row r="83" spans="1:27" ht="39.75" customHeight="1">
      <c r="A83" s="64"/>
      <c r="B83" s="227">
        <f>IF(U113=1,DATE(YEAR(P113),MONTH(P113),DAY(P113)+1),P113)</f>
        <v>45600</v>
      </c>
      <c r="C83" s="228"/>
      <c r="D83" s="206" t="s">
        <v>81</v>
      </c>
      <c r="E83" s="207"/>
      <c r="F83" s="208"/>
      <c r="G83" s="82">
        <f t="shared" si="100"/>
        <v>2</v>
      </c>
      <c r="H83" s="79"/>
      <c r="I83" s="79"/>
      <c r="J83" s="211">
        <f t="shared" si="101"/>
        <v>45558</v>
      </c>
      <c r="K83" s="212"/>
      <c r="L83" s="203" t="str">
        <f t="shared" si="102"/>
        <v>Shuubun no hi (Autumn Equinox) </v>
      </c>
      <c r="M83" s="204"/>
      <c r="N83" s="204"/>
      <c r="O83" s="95">
        <f t="shared" si="103"/>
        <v>2</v>
      </c>
      <c r="P83" s="66">
        <f>IF($G$3="",DATE(YEAR(B83),MONTH(B83)+1,DAY(1))-7,DATE($G$3,4,24))</f>
        <v>45620</v>
      </c>
      <c r="Q83" s="64"/>
      <c r="R83" s="64"/>
      <c r="S83" s="64"/>
      <c r="T83" s="64"/>
      <c r="U83" s="64"/>
      <c r="V83" s="64"/>
      <c r="W83" s="64"/>
      <c r="X83" s="64"/>
      <c r="Y83" s="64"/>
      <c r="Z83" s="64"/>
      <c r="AA83" s="64"/>
    </row>
    <row r="84" spans="1:27" ht="39.75" customHeight="1">
      <c r="A84" s="44"/>
      <c r="B84" s="227">
        <f>IF(U114=1,DATE(YEAR(P114),MONTH(P114),DAY(P114)+1),P114)</f>
        <v>45619</v>
      </c>
      <c r="C84" s="228"/>
      <c r="D84" s="206" t="s">
        <v>82</v>
      </c>
      <c r="E84" s="207"/>
      <c r="F84" s="208"/>
      <c r="G84" s="82">
        <f t="shared" si="100"/>
        <v>7</v>
      </c>
      <c r="H84" s="81"/>
      <c r="I84" s="81"/>
      <c r="J84" s="211">
        <f t="shared" si="101"/>
        <v>45579</v>
      </c>
      <c r="K84" s="212"/>
      <c r="L84" s="202" t="str">
        <f t="shared" si="102"/>
        <v>Taiiku no hi 
(Sports Day)</v>
      </c>
      <c r="M84" s="202"/>
      <c r="N84" s="202"/>
      <c r="O84" s="95">
        <f t="shared" si="103"/>
        <v>2</v>
      </c>
      <c r="P84" s="66">
        <v>36996</v>
      </c>
      <c r="Q84" s="66">
        <f>YEAR(B85)</f>
        <v>2024</v>
      </c>
      <c r="R84" s="44"/>
      <c r="S84" s="44"/>
      <c r="T84" s="44"/>
      <c r="U84" s="44"/>
      <c r="V84" s="44"/>
      <c r="W84" s="44"/>
      <c r="X84" s="44"/>
      <c r="Y84" s="44"/>
      <c r="Z84" s="44"/>
      <c r="AA84" s="44"/>
    </row>
    <row r="85" spans="1:27" ht="39.75" customHeight="1">
      <c r="A85" s="44"/>
      <c r="B85" s="227">
        <f>IF(U115=1,DATE(YEAR(P115),MONTH(P115),DAY(P115)+1),P115)</f>
        <v>45649</v>
      </c>
      <c r="C85" s="228"/>
      <c r="D85" s="206" t="s">
        <v>83</v>
      </c>
      <c r="E85" s="207"/>
      <c r="F85" s="208"/>
      <c r="G85" s="82">
        <f t="shared" si="100"/>
        <v>2</v>
      </c>
      <c r="H85" s="81"/>
      <c r="I85" s="81"/>
      <c r="J85" s="211">
        <f t="shared" si="101"/>
        <v>45600</v>
      </c>
      <c r="K85" s="212"/>
      <c r="L85" s="202" t="str">
        <f t="shared" si="102"/>
        <v>Bunka no hi 
(Culture Day)</v>
      </c>
      <c r="M85" s="202"/>
      <c r="N85" s="202"/>
      <c r="O85" s="95">
        <f t="shared" si="103"/>
        <v>2</v>
      </c>
      <c r="P85" s="66">
        <v>37390</v>
      </c>
      <c r="Q85" s="44"/>
      <c r="R85" s="44"/>
      <c r="S85" s="44"/>
      <c r="T85" s="44"/>
      <c r="U85" s="44"/>
      <c r="V85" s="44"/>
      <c r="W85" s="44"/>
      <c r="X85" s="44"/>
      <c r="Y85" s="44"/>
      <c r="Z85" s="44"/>
      <c r="AA85" s="44"/>
    </row>
    <row r="86" spans="1:27" ht="39.75" customHeight="1">
      <c r="A86" s="44"/>
      <c r="B86" s="223"/>
      <c r="C86" s="224"/>
      <c r="D86" s="205"/>
      <c r="E86" s="205"/>
      <c r="F86" s="205"/>
      <c r="G86" s="72"/>
      <c r="H86" s="80"/>
      <c r="I86" s="80"/>
      <c r="J86" s="211">
        <f t="shared" si="101"/>
        <v>45619</v>
      </c>
      <c r="K86" s="212"/>
      <c r="L86" s="202" t="str">
        <f t="shared" si="102"/>
        <v>Kinrou kansha no hi
(Labor Thanksgiving Day)</v>
      </c>
      <c r="M86" s="202"/>
      <c r="N86" s="202"/>
      <c r="O86" s="95">
        <f t="shared" si="103"/>
        <v>7</v>
      </c>
      <c r="P86" s="44"/>
      <c r="Q86" s="44"/>
      <c r="R86" s="44"/>
      <c r="S86" s="44"/>
      <c r="T86" s="44"/>
      <c r="U86" s="44"/>
      <c r="V86" s="44"/>
      <c r="W86" s="44"/>
      <c r="X86" s="44"/>
      <c r="Y86" s="44"/>
      <c r="Z86" s="44"/>
      <c r="AA86" s="44"/>
    </row>
    <row r="87" spans="1:27" ht="39.75" customHeight="1" thickBot="1">
      <c r="A87" s="44"/>
      <c r="B87" s="223"/>
      <c r="C87" s="224"/>
      <c r="D87" s="205"/>
      <c r="E87" s="205"/>
      <c r="F87" s="205"/>
      <c r="G87" s="72"/>
      <c r="H87" s="80"/>
      <c r="I87" s="80"/>
      <c r="J87" s="221">
        <f t="shared" si="101"/>
        <v>45649</v>
      </c>
      <c r="K87" s="222"/>
      <c r="L87" s="210" t="str">
        <f t="shared" si="102"/>
        <v>Tennou tanjoubi (Emperor's Birthday) - Dec 23 observed
(offices closed)</v>
      </c>
      <c r="M87" s="210"/>
      <c r="N87" s="210"/>
      <c r="O87" s="96">
        <f t="shared" si="103"/>
        <v>2</v>
      </c>
      <c r="P87" s="44"/>
      <c r="Q87" s="44"/>
      <c r="R87" s="44"/>
      <c r="S87" s="44"/>
      <c r="T87" s="44"/>
      <c r="U87" s="44"/>
      <c r="V87" s="44"/>
      <c r="W87" s="44"/>
      <c r="X87" s="44"/>
      <c r="Y87" s="44"/>
      <c r="Z87" s="44"/>
      <c r="AA87" s="44"/>
    </row>
    <row r="88" spans="1:27" ht="39.75" customHeight="1">
      <c r="A88" s="44"/>
      <c r="B88" s="223"/>
      <c r="C88" s="223"/>
      <c r="D88" s="205"/>
      <c r="E88" s="205"/>
      <c r="F88" s="205"/>
      <c r="G88" s="72"/>
      <c r="H88" s="81"/>
      <c r="I88" s="81"/>
      <c r="J88" s="220"/>
      <c r="K88" s="220"/>
      <c r="L88" s="200"/>
      <c r="M88" s="201"/>
      <c r="N88" s="201"/>
      <c r="O88" s="72">
        <f t="shared" si="97"/>
      </c>
      <c r="P88" s="66">
        <v>37056</v>
      </c>
      <c r="Q88" s="44"/>
      <c r="R88" s="44"/>
      <c r="S88" s="44"/>
      <c r="T88" s="44"/>
      <c r="U88" s="44"/>
      <c r="V88" s="44"/>
      <c r="W88" s="44"/>
      <c r="X88" s="44"/>
      <c r="Y88" s="44"/>
      <c r="Z88" s="44"/>
      <c r="AA88" s="44"/>
    </row>
    <row r="89" spans="1:27" ht="39.75" customHeight="1">
      <c r="A89" s="44"/>
      <c r="B89" s="223"/>
      <c r="C89" s="224"/>
      <c r="D89" s="205"/>
      <c r="E89" s="205"/>
      <c r="F89" s="205"/>
      <c r="G89" s="72"/>
      <c r="H89" s="80"/>
      <c r="I89" s="80"/>
      <c r="J89" s="220"/>
      <c r="K89" s="220"/>
      <c r="L89" s="200"/>
      <c r="M89" s="201"/>
      <c r="N89" s="201"/>
      <c r="O89" s="72">
        <f t="shared" si="97"/>
      </c>
      <c r="P89" s="44"/>
      <c r="Q89" s="44"/>
      <c r="R89" s="44"/>
      <c r="S89" s="44"/>
      <c r="T89" s="44"/>
      <c r="U89" s="44"/>
      <c r="V89" s="44"/>
      <c r="W89" s="44"/>
      <c r="X89" s="44"/>
      <c r="Y89" s="44"/>
      <c r="Z89" s="44"/>
      <c r="AA89" s="44"/>
    </row>
    <row r="90" spans="1:27" ht="39.75" customHeight="1">
      <c r="A90" s="44"/>
      <c r="B90" s="223"/>
      <c r="C90" s="223"/>
      <c r="D90" s="205"/>
      <c r="E90" s="205"/>
      <c r="F90" s="205"/>
      <c r="G90" s="72"/>
      <c r="H90" s="81"/>
      <c r="I90" s="81"/>
      <c r="J90" s="220"/>
      <c r="K90" s="220"/>
      <c r="L90" s="200"/>
      <c r="M90" s="201"/>
      <c r="N90" s="201"/>
      <c r="O90" s="72">
        <f t="shared" si="97"/>
      </c>
      <c r="P90" s="66">
        <v>37076</v>
      </c>
      <c r="Q90" s="44"/>
      <c r="R90" s="44"/>
      <c r="S90" s="44"/>
      <c r="T90" s="44"/>
      <c r="U90" s="44"/>
      <c r="V90" s="44"/>
      <c r="W90" s="44"/>
      <c r="X90" s="44"/>
      <c r="Y90" s="44"/>
      <c r="Z90" s="44"/>
      <c r="AA90" s="44"/>
    </row>
    <row r="91" spans="2:17" ht="39.75" customHeight="1">
      <c r="B91" s="223"/>
      <c r="C91" s="223"/>
      <c r="D91" s="205"/>
      <c r="E91" s="205"/>
      <c r="F91" s="205"/>
      <c r="G91" s="72"/>
      <c r="H91" s="81"/>
      <c r="I91" s="81"/>
      <c r="J91" s="220"/>
      <c r="K91" s="220"/>
      <c r="L91" s="200"/>
      <c r="M91" s="201"/>
      <c r="N91" s="201"/>
      <c r="O91" s="72">
        <f t="shared" si="97"/>
      </c>
      <c r="P91" s="66">
        <v>37483</v>
      </c>
      <c r="Q91" s="69">
        <f ca="1">IF($G$3="",IF(MONTH(TODAY())&gt;9,DATE(YEAR(TODAY())+1,MONTH(1),DAY(1)),DATE(YEAR(TODAY()),MONTH(1),DAY(1))),DATE($G$3,1,1))</f>
        <v>45292</v>
      </c>
    </row>
    <row r="92" spans="2:15" ht="39.75" customHeight="1">
      <c r="B92" s="223"/>
      <c r="C92" s="224"/>
      <c r="D92" s="205"/>
      <c r="E92" s="205"/>
      <c r="F92" s="205"/>
      <c r="G92" s="72"/>
      <c r="H92" s="80"/>
      <c r="I92" s="80"/>
      <c r="J92" s="220"/>
      <c r="K92" s="220"/>
      <c r="L92" s="200"/>
      <c r="M92" s="201"/>
      <c r="N92" s="201"/>
      <c r="O92" s="72">
        <f t="shared" si="97"/>
      </c>
    </row>
    <row r="93" spans="2:17" ht="39.75" customHeight="1">
      <c r="B93" s="223"/>
      <c r="C93" s="223"/>
      <c r="D93" s="205"/>
      <c r="E93" s="205"/>
      <c r="F93" s="205"/>
      <c r="G93" s="72"/>
      <c r="H93" s="81"/>
      <c r="I93" s="81"/>
      <c r="J93" s="220"/>
      <c r="K93" s="220"/>
      <c r="L93" s="200"/>
      <c r="M93" s="201"/>
      <c r="N93" s="201"/>
      <c r="O93" s="72">
        <f t="shared" si="97"/>
      </c>
      <c r="P93" s="66">
        <v>37149</v>
      </c>
      <c r="Q93" s="69">
        <f ca="1">IF($G$3="",IF(MONTH(TODAY())&gt;10,DATE(YEAR(TODAY())+1,MONTH(1),DAY(1)),DATE(YEAR(TODAY()),MONTH(1),DAY(1))),DATE($G$3,1,1))</f>
        <v>45292</v>
      </c>
    </row>
    <row r="94" spans="2:16" ht="39.75" customHeight="1">
      <c r="B94" s="223"/>
      <c r="C94" s="223"/>
      <c r="D94" s="205"/>
      <c r="E94" s="205"/>
      <c r="F94" s="205"/>
      <c r="G94" s="72"/>
      <c r="H94" s="79"/>
      <c r="I94" s="79"/>
      <c r="J94" s="220"/>
      <c r="K94" s="220"/>
      <c r="L94" s="200"/>
      <c r="M94" s="201"/>
      <c r="N94" s="201"/>
      <c r="O94" s="72">
        <f t="shared" si="97"/>
      </c>
      <c r="P94" s="66">
        <f>IF($G$3="",DATE(YEAR(B93),MONTH(B93)+1,DAY(1)),DATE($G$3,10,31))</f>
        <v>32</v>
      </c>
    </row>
    <row r="95" spans="2:16" ht="39.75" customHeight="1">
      <c r="B95" s="223"/>
      <c r="C95" s="223"/>
      <c r="D95" s="205"/>
      <c r="E95" s="205"/>
      <c r="F95" s="205"/>
      <c r="G95" s="72"/>
      <c r="H95" s="81"/>
      <c r="I95" s="81"/>
      <c r="J95" s="220"/>
      <c r="K95" s="220"/>
      <c r="L95" s="200"/>
      <c r="M95" s="201"/>
      <c r="N95" s="201"/>
      <c r="O95" s="72">
        <f t="shared" si="97"/>
      </c>
      <c r="P95" s="66">
        <v>37195</v>
      </c>
    </row>
    <row r="96" spans="2:15" ht="39.75" customHeight="1">
      <c r="B96" s="223"/>
      <c r="C96" s="224"/>
      <c r="D96" s="205"/>
      <c r="E96" s="205"/>
      <c r="F96" s="205"/>
      <c r="G96" s="72"/>
      <c r="H96" s="79"/>
      <c r="I96" s="79"/>
      <c r="J96" s="220"/>
      <c r="K96" s="220"/>
      <c r="L96" s="200"/>
      <c r="M96" s="201"/>
      <c r="N96" s="201"/>
      <c r="O96" s="72">
        <f t="shared" si="97"/>
      </c>
    </row>
    <row r="97" spans="2:16" ht="39.75" customHeight="1">
      <c r="B97" s="223"/>
      <c r="C97" s="223"/>
      <c r="D97" s="205"/>
      <c r="E97" s="205"/>
      <c r="F97" s="205"/>
      <c r="G97" s="72"/>
      <c r="H97" s="81"/>
      <c r="I97" s="81"/>
      <c r="J97" s="220"/>
      <c r="K97" s="220"/>
      <c r="L97" s="200"/>
      <c r="M97" s="201"/>
      <c r="N97" s="201"/>
      <c r="O97" s="72">
        <f t="shared" si="97"/>
      </c>
      <c r="P97" s="66">
        <v>37571</v>
      </c>
    </row>
    <row r="98" spans="2:16" ht="39.75" customHeight="1">
      <c r="B98" s="223"/>
      <c r="C98" s="223"/>
      <c r="D98" s="205"/>
      <c r="E98" s="205"/>
      <c r="F98" s="205"/>
      <c r="G98" s="72"/>
      <c r="H98" s="81"/>
      <c r="I98" s="81"/>
      <c r="J98" s="220"/>
      <c r="K98" s="220"/>
      <c r="L98" s="200"/>
      <c r="M98" s="201"/>
      <c r="N98" s="201"/>
      <c r="O98" s="72">
        <f t="shared" si="97"/>
      </c>
      <c r="P98" s="66">
        <f ca="1">IF(G3="",IF(TODAY()&lt;=DATE(YEAR(TODAY()),MONTH(P97),DAY(P97))+19,DATE(YEAR(TODAY()),MONTH(B97)+1,DAY(1))-7,DATE(YEAR(TODAY())+1,MONTH(B97)+1,DAY(1))-7),DATE(G3,11,24))</f>
        <v>45316</v>
      </c>
    </row>
    <row r="99" spans="2:15" ht="39.75" customHeight="1" thickBot="1">
      <c r="B99" s="223"/>
      <c r="C99" s="224"/>
      <c r="D99" s="205"/>
      <c r="E99" s="205"/>
      <c r="F99" s="205"/>
      <c r="G99" s="72"/>
      <c r="H99" s="79"/>
      <c r="I99" s="79"/>
      <c r="J99" s="220"/>
      <c r="K99" s="220"/>
      <c r="L99" s="200"/>
      <c r="M99" s="201"/>
      <c r="N99" s="201"/>
      <c r="O99" s="72">
        <f t="shared" si="97"/>
      </c>
    </row>
    <row r="100" spans="2:23" ht="39.75" customHeight="1" thickBot="1">
      <c r="B100" s="223"/>
      <c r="C100" s="223"/>
      <c r="D100" s="205"/>
      <c r="E100" s="205"/>
      <c r="F100" s="205"/>
      <c r="G100" s="72"/>
      <c r="H100" s="81"/>
      <c r="I100" s="81"/>
      <c r="J100" s="220"/>
      <c r="K100" s="220"/>
      <c r="L100" s="200"/>
      <c r="M100" s="201"/>
      <c r="N100" s="201"/>
      <c r="O100" s="72">
        <f t="shared" si="97"/>
      </c>
      <c r="P100" s="177" t="s">
        <v>6</v>
      </c>
      <c r="Q100" s="178"/>
      <c r="R100" s="178"/>
      <c r="S100" s="178"/>
      <c r="T100" s="179"/>
      <c r="U100" s="183" t="s">
        <v>19</v>
      </c>
      <c r="V100" s="184"/>
      <c r="W100" s="6"/>
    </row>
    <row r="101" spans="2:23" ht="39.75" customHeight="1">
      <c r="B101" s="223"/>
      <c r="C101" s="223"/>
      <c r="D101" s="205"/>
      <c r="E101" s="205"/>
      <c r="F101" s="205"/>
      <c r="G101" s="72"/>
      <c r="H101" s="81"/>
      <c r="I101" s="81"/>
      <c r="J101" s="220"/>
      <c r="K101" s="220"/>
      <c r="L101" s="74"/>
      <c r="M101" s="71"/>
      <c r="N101" s="71"/>
      <c r="O101" s="72">
        <f t="shared" si="97"/>
      </c>
      <c r="P101" s="180">
        <f>DATE(YEAR(B70),1,1)</f>
        <v>45292</v>
      </c>
      <c r="Q101" s="181"/>
      <c r="R101" s="181"/>
      <c r="S101" s="181"/>
      <c r="T101" s="182"/>
      <c r="U101" s="152">
        <f>WEEKDAY(P101)</f>
        <v>2</v>
      </c>
      <c r="V101" s="153"/>
      <c r="W101" s="6"/>
    </row>
    <row r="102" spans="2:23" ht="39.75" customHeight="1">
      <c r="B102" s="223"/>
      <c r="C102" s="223"/>
      <c r="D102" s="74"/>
      <c r="E102" s="71"/>
      <c r="F102" s="71"/>
      <c r="G102" s="72"/>
      <c r="H102" s="79"/>
      <c r="I102" s="79"/>
      <c r="J102" s="220"/>
      <c r="K102" s="220"/>
      <c r="L102" s="74"/>
      <c r="M102" s="71"/>
      <c r="N102" s="71"/>
      <c r="O102" s="72">
        <f aca="true" t="shared" si="104" ref="O102:O126">IF(J102="","",WEEKDAY(J102))</f>
      </c>
      <c r="P102" s="15">
        <f>DATE(YEAR(Q102),1,1)+14-WEEKDAY(DATE(YEAR(Q102),1,1),3)-7*NOT(WEEKDAY(DATE(YEAR(Q102),1,1),3))</f>
        <v>45670</v>
      </c>
      <c r="Q102" s="15">
        <f ca="1">IF($G$3="",IF(MONTH(TODAY())&gt;1,DATE(YEAR(TODAY())+1,1,1),DATE(YEAR(TODAY()),1,1)),DATE($G$3,1,1))</f>
        <v>45658</v>
      </c>
      <c r="R102" s="15"/>
      <c r="S102" s="15"/>
      <c r="T102" s="16"/>
      <c r="U102" s="146">
        <f>WEEKDAY(P102)</f>
        <v>2</v>
      </c>
      <c r="V102" s="147"/>
      <c r="W102" s="6"/>
    </row>
    <row r="103" spans="2:23" ht="39.75" customHeight="1">
      <c r="B103" s="223"/>
      <c r="C103" s="223"/>
      <c r="D103" s="76"/>
      <c r="E103" s="71"/>
      <c r="F103" s="71"/>
      <c r="G103" s="72"/>
      <c r="H103" s="77"/>
      <c r="I103" s="77"/>
      <c r="J103" s="220"/>
      <c r="K103" s="220"/>
      <c r="L103" s="74"/>
      <c r="M103" s="71"/>
      <c r="N103" s="71">
        <f ca="1">IF($G$3="",IF(MONTH(TODAY())&gt;2,DATE(YEAR(TODAY())+1,1,1),DATE(YEAR(TODAY()),1,1)),DATE($G$3,1,1))</f>
        <v>45292</v>
      </c>
      <c r="O103" s="72">
        <f t="shared" si="104"/>
      </c>
      <c r="P103" s="150">
        <f>DATE(YEAR(N103),2,11)</f>
        <v>45333</v>
      </c>
      <c r="Q103" s="150"/>
      <c r="R103" s="150"/>
      <c r="S103" s="150"/>
      <c r="T103" s="151"/>
      <c r="U103" s="146">
        <f>WEEKDAY(P103)</f>
        <v>1</v>
      </c>
      <c r="V103" s="147"/>
      <c r="W103" s="6"/>
    </row>
    <row r="104" spans="2:23" ht="39.75" customHeight="1">
      <c r="B104" s="223"/>
      <c r="C104" s="223"/>
      <c r="D104" s="74"/>
      <c r="E104" s="71"/>
      <c r="F104" s="71"/>
      <c r="G104" s="72"/>
      <c r="H104" s="78"/>
      <c r="I104" s="78"/>
      <c r="J104" s="220"/>
      <c r="K104" s="220"/>
      <c r="L104" s="74"/>
      <c r="M104" s="71"/>
      <c r="N104" s="71">
        <f ca="1">IF($G$3="",IF(MONTH(TODAY())&gt;3,DATE(YEAR(TODAY())+1,1,1),DATE(YEAR(TODAY()),1,1)),DATE($G$3,1,1))</f>
        <v>45292</v>
      </c>
      <c r="O104" s="72">
        <f t="shared" si="104"/>
      </c>
      <c r="P104" s="150">
        <f>DATE(YEAR(N104),3,INT(20.8431+0.242194*(YEAR(N104)-1980)-INT((YEAR(N104)-1980)/4)))</f>
        <v>45371</v>
      </c>
      <c r="Q104" s="150"/>
      <c r="R104" s="150"/>
      <c r="S104" s="150"/>
      <c r="T104" s="151"/>
      <c r="U104" s="146">
        <f>WEEKDAY(P104)</f>
        <v>4</v>
      </c>
      <c r="V104" s="147"/>
      <c r="W104" s="6"/>
    </row>
    <row r="105" spans="2:23" ht="39.75" customHeight="1">
      <c r="B105" s="223"/>
      <c r="C105" s="223"/>
      <c r="D105" s="74"/>
      <c r="E105" s="71"/>
      <c r="F105" s="71"/>
      <c r="G105" s="72"/>
      <c r="H105" s="78"/>
      <c r="I105" s="78"/>
      <c r="J105" s="220"/>
      <c r="K105" s="220"/>
      <c r="L105" s="74"/>
      <c r="M105" s="71"/>
      <c r="N105" s="71">
        <f ca="1">IF($G$3="",IF(MONTH(TODAY())&gt;4,DATE(YEAR(TODAY())+1,1,1),DATE(YEAR(TODAY()),1,1)),DATE($G$3,1,1))</f>
        <v>45292</v>
      </c>
      <c r="O105" s="72">
        <f t="shared" si="104"/>
      </c>
      <c r="P105" s="150">
        <f>DATE(YEAR(N105),4,29)</f>
        <v>45411</v>
      </c>
      <c r="Q105" s="150"/>
      <c r="R105" s="150"/>
      <c r="S105" s="150"/>
      <c r="T105" s="151"/>
      <c r="U105" s="146">
        <f>WEEKDAY(P105)</f>
        <v>2</v>
      </c>
      <c r="V105" s="147"/>
      <c r="W105" s="6"/>
    </row>
    <row r="106" spans="2:23" ht="39.75" customHeight="1">
      <c r="B106" s="223"/>
      <c r="C106" s="223"/>
      <c r="D106" s="74"/>
      <c r="E106" s="71"/>
      <c r="F106" s="71"/>
      <c r="G106" s="72"/>
      <c r="H106" s="78"/>
      <c r="I106" s="78"/>
      <c r="J106" s="220"/>
      <c r="K106" s="220"/>
      <c r="L106" s="74"/>
      <c r="M106" s="71"/>
      <c r="N106" s="71">
        <f ca="1">IF($G$3="",IF(MONTH(TODAY())&gt;5,DATE(YEAR(TODAY())+1,1,1),DATE(YEAR(TODAY()),1,1)),DATE($G$3,1,1))</f>
        <v>45292</v>
      </c>
      <c r="O106" s="72">
        <f t="shared" si="104"/>
      </c>
      <c r="P106" s="150">
        <f>IF(OR(WEEKDAY(DATE(YEAR(N106),5,3))=1,WEEKDAY(DATE(YEAR(N106),5,4))=1),"",DATE(YEAR(N106),5,4))</f>
        <v>45416</v>
      </c>
      <c r="Q106" s="150"/>
      <c r="R106" s="150"/>
      <c r="S106" s="150"/>
      <c r="T106" s="151"/>
      <c r="U106" s="146">
        <f>IF(WEEKDAY(DATE(O51,5,4))=1,1,WEEKDAY(P106))</f>
        <v>7</v>
      </c>
      <c r="V106" s="147"/>
      <c r="W106" s="6"/>
    </row>
    <row r="107" spans="2:23" ht="39.75" customHeight="1">
      <c r="B107" s="223"/>
      <c r="C107" s="223"/>
      <c r="D107" s="74"/>
      <c r="E107" s="71"/>
      <c r="F107" s="71"/>
      <c r="G107" s="72"/>
      <c r="H107" s="78"/>
      <c r="I107" s="78"/>
      <c r="J107" s="220"/>
      <c r="K107" s="220"/>
      <c r="L107" s="74"/>
      <c r="M107" s="71"/>
      <c r="N107" s="71">
        <f ca="1">IF($G$3="",IF(MONTH(TODAY())&gt;5,DATE(YEAR(TODAY())+1,1,1),DATE(YEAR(TODAY()),1,1)),DATE($G$3,1,1))</f>
        <v>45292</v>
      </c>
      <c r="O107" s="72">
        <f t="shared" si="104"/>
      </c>
      <c r="P107" s="150">
        <f>DATE(YEAR(N107),5,3)</f>
        <v>45415</v>
      </c>
      <c r="Q107" s="150"/>
      <c r="R107" s="150"/>
      <c r="S107" s="150"/>
      <c r="T107" s="151"/>
      <c r="U107" s="146">
        <f aca="true" t="shared" si="105" ref="U107:U115">WEEKDAY(P107)</f>
        <v>6</v>
      </c>
      <c r="V107" s="147"/>
      <c r="W107" s="6"/>
    </row>
    <row r="108" spans="2:23" ht="39.75" customHeight="1">
      <c r="B108" s="223"/>
      <c r="C108" s="223"/>
      <c r="D108" s="76"/>
      <c r="E108" s="71"/>
      <c r="F108" s="71"/>
      <c r="G108" s="72">
        <f aca="true" t="shared" si="106" ref="G108:G126">IF(B108="","",WEEKDAY(B108))</f>
      </c>
      <c r="H108" s="77"/>
      <c r="I108" s="77"/>
      <c r="J108" s="220"/>
      <c r="K108" s="220"/>
      <c r="L108" s="74"/>
      <c r="M108" s="71"/>
      <c r="N108" s="71">
        <f ca="1">IF($G$3="",IF(MONTH(TODAY())&gt;5,DATE(YEAR(TODAY())+1,1,1),DATE(YEAR(TODAY()),1,1)),DATE($G$3,1,1))</f>
        <v>45292</v>
      </c>
      <c r="O108" s="72">
        <f t="shared" si="104"/>
      </c>
      <c r="P108" s="150">
        <f>DATE(YEAR(N108),5,5)</f>
        <v>45417</v>
      </c>
      <c r="Q108" s="150"/>
      <c r="R108" s="150"/>
      <c r="S108" s="150"/>
      <c r="T108" s="151"/>
      <c r="U108" s="146">
        <f t="shared" si="105"/>
        <v>1</v>
      </c>
      <c r="V108" s="147"/>
      <c r="W108" s="6"/>
    </row>
    <row r="109" spans="2:23" ht="39.75" customHeight="1">
      <c r="B109" s="223"/>
      <c r="C109" s="223"/>
      <c r="D109" s="76"/>
      <c r="E109" s="71"/>
      <c r="F109" s="71"/>
      <c r="G109" s="72">
        <f t="shared" si="106"/>
      </c>
      <c r="H109" s="77"/>
      <c r="I109" s="77"/>
      <c r="J109" s="220"/>
      <c r="K109" s="220"/>
      <c r="L109" s="74"/>
      <c r="M109" s="71"/>
      <c r="N109" s="71"/>
      <c r="O109" s="72">
        <f t="shared" si="104"/>
      </c>
      <c r="P109" s="15">
        <f>IF(WEEKDAY(DATE(YEAR($P$101),MONTH(W109),DAY(1)))=2,DATE(YEAR($P$101),MONTH(W109),DAY(1))+14,IF(OR(WEEKDAY(DATE(YEAR($P$101),MONTH(W109),DAY(1)))=1,WEEKDAY(DATE(YEAR($P$101),MONTH(W109),DAY(1)))=3,WEEKDAY(DATE(YEAR($P$101),MONTH(W109),DAY(1)))=4,WEEKDAY(DATE(YEAR($P$101),MONTH(W109),DAY(1)))=5,WEEKDAY(DATE(YEAR($P$101),MONTH(W109),DAY(1)))=6,WEEKDAY(DATE(YEAR($P$101),MONTH(W109),DAY(1)))=7),DATE(YEAR($P$101),MONTH(W109),DAY(1)))+(22-WEEKDAY(DATE(YEAR($P$101),MONTH(W109),DAY(1)),2)))</f>
        <v>45488</v>
      </c>
      <c r="Q109" s="15"/>
      <c r="R109" s="15"/>
      <c r="S109" s="15"/>
      <c r="T109" s="16"/>
      <c r="U109" s="146">
        <f t="shared" si="105"/>
        <v>2</v>
      </c>
      <c r="V109" s="147"/>
      <c r="W109" s="28">
        <v>37451</v>
      </c>
    </row>
    <row r="110" spans="2:23" ht="39.75" customHeight="1">
      <c r="B110" s="223"/>
      <c r="C110" s="223"/>
      <c r="D110" s="76"/>
      <c r="E110" s="71"/>
      <c r="F110" s="71"/>
      <c r="G110" s="72">
        <f t="shared" si="106"/>
      </c>
      <c r="H110" s="77"/>
      <c r="I110" s="77"/>
      <c r="J110" s="220"/>
      <c r="K110" s="220"/>
      <c r="L110" s="74"/>
      <c r="M110" s="71"/>
      <c r="N110" s="71"/>
      <c r="O110" s="72">
        <f t="shared" si="104"/>
      </c>
      <c r="P110" s="15">
        <f>IF(WEEKDAY(DATE(W111,MONTH(W110),DAY(1)))=2,DATE(W111,MONTH(W110),DAY(1))+14,IF(OR(WEEKDAY(DATE(W111,MONTH(W110),DAY(1)))=1,WEEKDAY(DATE(W111,MONTH(W110),DAY(1)))=3,WEEKDAY(DATE(W111,MONTH(W110),DAY(1)))=4,WEEKDAY(DATE(W111,MONTH(W110),DAY(1)))=5,WEEKDAY(DATE(W111,MONTH(W110),DAY(1)))=6,WEEKDAY(DATE(W111,MONTH(W110),DAY(1)))=7),DATE(W111,MONTH(W110),DAY(1)))+(22-WEEKDAY(DATE(W111,MONTH(W110),DAY(1)),2)))</f>
        <v>45551</v>
      </c>
      <c r="Q110" s="15"/>
      <c r="R110" s="15"/>
      <c r="S110" s="15"/>
      <c r="T110" s="16"/>
      <c r="U110" s="146">
        <f t="shared" si="105"/>
        <v>2</v>
      </c>
      <c r="V110" s="147"/>
      <c r="W110" s="28">
        <v>37513</v>
      </c>
    </row>
    <row r="111" spans="2:23" ht="39.75" customHeight="1">
      <c r="B111" s="223"/>
      <c r="C111" s="223"/>
      <c r="D111" s="76"/>
      <c r="E111" s="71"/>
      <c r="F111" s="71"/>
      <c r="G111" s="72">
        <f t="shared" si="106"/>
      </c>
      <c r="H111" s="77"/>
      <c r="I111" s="77"/>
      <c r="J111" s="220"/>
      <c r="K111" s="220"/>
      <c r="L111" s="74"/>
      <c r="M111" s="71"/>
      <c r="N111" s="71">
        <f ca="1">IF($G$3="",IF(MONTH(TODAY())&gt;9,DATE(YEAR(TODAY())+1,1,1),DATE(YEAR(TODAY()),1,1)),DATE($G$3,1,1))</f>
        <v>45292</v>
      </c>
      <c r="O111" s="72">
        <f t="shared" si="104"/>
      </c>
      <c r="P111" s="150">
        <f>DATE(YEAR(N111),9,INT(23.2488+0.242194*(YEAR(N111)-1980)-INT((YEAR(N111)-1980)/4)))</f>
        <v>45557</v>
      </c>
      <c r="Q111" s="150"/>
      <c r="R111" s="150"/>
      <c r="S111" s="150"/>
      <c r="T111" s="151"/>
      <c r="U111" s="146">
        <f t="shared" si="105"/>
        <v>1</v>
      </c>
      <c r="V111" s="147"/>
      <c r="W111" s="6">
        <f>YEAR(P111)</f>
        <v>2024</v>
      </c>
    </row>
    <row r="112" spans="2:23" ht="39.75" customHeight="1">
      <c r="B112" s="223"/>
      <c r="C112" s="223"/>
      <c r="D112" s="76"/>
      <c r="E112" s="71"/>
      <c r="F112" s="71"/>
      <c r="G112" s="72">
        <f t="shared" si="106"/>
      </c>
      <c r="H112" s="77"/>
      <c r="I112" s="77"/>
      <c r="J112" s="220"/>
      <c r="K112" s="220"/>
      <c r="L112" s="74"/>
      <c r="M112" s="71"/>
      <c r="N112" s="71">
        <f ca="1">IF($G$3="",IF(MONTH(TODAY())&gt;10,DATE(YEAR(TODAY())+1,1,1),DATE(YEAR(TODAY()),1,1)),DATE($G$3,1,1))</f>
        <v>45292</v>
      </c>
      <c r="O112" s="72">
        <f t="shared" si="104"/>
      </c>
      <c r="P112" s="150">
        <f>DATE(YEAR(N112),10,1)+14-WEEKDAY(DATE(YEAR(N112),10,1),3)-7*NOT(WEEKDAY(DATE(YEAR(N112),10,1),3))</f>
        <v>45579</v>
      </c>
      <c r="Q112" s="150"/>
      <c r="R112" s="150"/>
      <c r="S112" s="150"/>
      <c r="T112" s="151"/>
      <c r="U112" s="146">
        <f t="shared" si="105"/>
        <v>2</v>
      </c>
      <c r="V112" s="147"/>
      <c r="W112" s="6"/>
    </row>
    <row r="113" spans="2:23" ht="39.75" customHeight="1">
      <c r="B113" s="223"/>
      <c r="C113" s="223"/>
      <c r="D113" s="76"/>
      <c r="E113" s="71"/>
      <c r="F113" s="71"/>
      <c r="G113" s="72">
        <f t="shared" si="106"/>
      </c>
      <c r="H113" s="77"/>
      <c r="I113" s="77"/>
      <c r="J113" s="220"/>
      <c r="K113" s="220"/>
      <c r="L113" s="74"/>
      <c r="M113" s="71"/>
      <c r="N113" s="71">
        <f ca="1">IF($G$3="",IF(MONTH(TODAY())&gt;11,DATE(YEAR(TODAY())+1,1,1),DATE(YEAR(TODAY()),1,1)),DATE($G$3,1,1))</f>
        <v>45292</v>
      </c>
      <c r="O113" s="72">
        <f t="shared" si="104"/>
      </c>
      <c r="P113" s="150">
        <f>DATE(YEAR(N113),11,3)</f>
        <v>45599</v>
      </c>
      <c r="Q113" s="150"/>
      <c r="R113" s="150"/>
      <c r="S113" s="150"/>
      <c r="T113" s="151"/>
      <c r="U113" s="146">
        <f t="shared" si="105"/>
        <v>1</v>
      </c>
      <c r="V113" s="147"/>
      <c r="W113" s="6"/>
    </row>
    <row r="114" spans="2:23" ht="39.75" customHeight="1">
      <c r="B114" s="223"/>
      <c r="C114" s="223"/>
      <c r="D114" s="76"/>
      <c r="E114" s="71"/>
      <c r="F114" s="71"/>
      <c r="G114" s="72">
        <f t="shared" si="106"/>
      </c>
      <c r="H114" s="77"/>
      <c r="I114" s="77"/>
      <c r="J114" s="220"/>
      <c r="K114" s="220"/>
      <c r="L114" s="74"/>
      <c r="M114" s="71"/>
      <c r="N114" s="71">
        <f ca="1">IF($G$3="",IF(MONTH(TODAY())&gt;11,DATE(YEAR(TODAY())+1,1,1),DATE(YEAR(TODAY()),1,1)),DATE($G$3,1,1))</f>
        <v>45292</v>
      </c>
      <c r="O114" s="72">
        <f t="shared" si="104"/>
      </c>
      <c r="P114" s="150">
        <f>DATE(YEAR(N114),11,23)</f>
        <v>45619</v>
      </c>
      <c r="Q114" s="150"/>
      <c r="R114" s="150"/>
      <c r="S114" s="150"/>
      <c r="T114" s="151"/>
      <c r="U114" s="146">
        <f t="shared" si="105"/>
        <v>7</v>
      </c>
      <c r="V114" s="147"/>
      <c r="W114" s="6"/>
    </row>
    <row r="115" spans="2:23" ht="39.75" customHeight="1" thickBot="1">
      <c r="B115" s="223"/>
      <c r="C115" s="223"/>
      <c r="D115" s="76"/>
      <c r="E115" s="71"/>
      <c r="F115" s="71"/>
      <c r="G115" s="72">
        <f t="shared" si="106"/>
      </c>
      <c r="H115" s="77"/>
      <c r="I115" s="77"/>
      <c r="J115" s="220"/>
      <c r="K115" s="220"/>
      <c r="L115" s="74"/>
      <c r="M115" s="71"/>
      <c r="N115" s="71">
        <f ca="1">IF($G$3="",IF(TODAY()&gt;DATE(YEAR(TODAY()),12,26),DATE(YEAR(TODAY())+1,1,1),DATE(YEAR(TODAY()),1,1)),DATE($G$3,1,1))</f>
        <v>45292</v>
      </c>
      <c r="O115" s="72">
        <f t="shared" si="104"/>
      </c>
      <c r="P115" s="159">
        <f>DATE(YEAR(N115),12,23)</f>
        <v>45649</v>
      </c>
      <c r="Q115" s="159"/>
      <c r="R115" s="159"/>
      <c r="S115" s="159"/>
      <c r="T115" s="160"/>
      <c r="U115" s="148">
        <f t="shared" si="105"/>
        <v>2</v>
      </c>
      <c r="V115" s="149"/>
      <c r="W115" s="6"/>
    </row>
    <row r="116" spans="2:23" ht="39.75" customHeight="1">
      <c r="B116" s="223"/>
      <c r="C116" s="223"/>
      <c r="D116" s="76"/>
      <c r="E116" s="71"/>
      <c r="F116" s="71"/>
      <c r="G116" s="72">
        <f t="shared" si="106"/>
      </c>
      <c r="H116" s="77"/>
      <c r="I116" s="77"/>
      <c r="J116" s="220"/>
      <c r="K116" s="220"/>
      <c r="L116" s="74"/>
      <c r="M116" s="71"/>
      <c r="N116" s="71"/>
      <c r="O116" s="72">
        <f t="shared" si="104"/>
      </c>
      <c r="P116" s="6"/>
      <c r="Q116" s="5"/>
      <c r="R116" s="6"/>
      <c r="S116" s="6"/>
      <c r="T116" s="6"/>
      <c r="U116" s="6"/>
      <c r="V116" s="6"/>
      <c r="W116" s="6"/>
    </row>
    <row r="117" spans="2:23" ht="39.75" customHeight="1">
      <c r="B117" s="223"/>
      <c r="C117" s="223"/>
      <c r="D117" s="76"/>
      <c r="E117" s="71"/>
      <c r="F117" s="71"/>
      <c r="G117" s="72">
        <f t="shared" si="106"/>
      </c>
      <c r="H117" s="77"/>
      <c r="I117" s="77"/>
      <c r="J117" s="220"/>
      <c r="K117" s="220"/>
      <c r="L117" s="74"/>
      <c r="M117" s="71"/>
      <c r="N117" s="71"/>
      <c r="O117" s="72">
        <f t="shared" si="104"/>
      </c>
      <c r="P117" s="6"/>
      <c r="Q117" s="5"/>
      <c r="R117" s="6"/>
      <c r="S117" s="6"/>
      <c r="T117" s="6"/>
      <c r="U117" s="6"/>
      <c r="V117" s="6"/>
      <c r="W117" s="6"/>
    </row>
    <row r="118" spans="2:15" ht="39.75" customHeight="1">
      <c r="B118" s="223"/>
      <c r="C118" s="223"/>
      <c r="D118" s="76"/>
      <c r="E118" s="71"/>
      <c r="F118" s="71"/>
      <c r="G118" s="72">
        <f t="shared" si="106"/>
      </c>
      <c r="H118" s="77"/>
      <c r="I118" s="77"/>
      <c r="J118" s="220"/>
      <c r="K118" s="220"/>
      <c r="L118" s="74"/>
      <c r="M118" s="71"/>
      <c r="N118" s="71"/>
      <c r="O118" s="72">
        <f t="shared" si="104"/>
      </c>
    </row>
    <row r="119" spans="2:15" ht="39.75" customHeight="1">
      <c r="B119" s="223"/>
      <c r="C119" s="223"/>
      <c r="D119" s="76"/>
      <c r="E119" s="71"/>
      <c r="F119" s="71"/>
      <c r="G119" s="72">
        <f t="shared" si="106"/>
      </c>
      <c r="H119" s="77"/>
      <c r="I119" s="77"/>
      <c r="J119" s="220"/>
      <c r="K119" s="220"/>
      <c r="L119" s="74"/>
      <c r="M119" s="71"/>
      <c r="N119" s="71"/>
      <c r="O119" s="72">
        <f t="shared" si="104"/>
      </c>
    </row>
    <row r="120" spans="2:15" ht="39.75" customHeight="1">
      <c r="B120" s="223"/>
      <c r="C120" s="223"/>
      <c r="D120" s="76"/>
      <c r="E120" s="71"/>
      <c r="F120" s="71"/>
      <c r="G120" s="72">
        <f t="shared" si="106"/>
      </c>
      <c r="H120" s="77"/>
      <c r="I120" s="77"/>
      <c r="J120" s="220"/>
      <c r="K120" s="220"/>
      <c r="L120" s="74"/>
      <c r="M120" s="71"/>
      <c r="N120" s="71"/>
      <c r="O120" s="72">
        <f t="shared" si="104"/>
      </c>
    </row>
    <row r="121" spans="2:15" ht="39.75" customHeight="1">
      <c r="B121" s="223"/>
      <c r="C121" s="223"/>
      <c r="D121" s="76"/>
      <c r="E121" s="71"/>
      <c r="F121" s="71"/>
      <c r="G121" s="72">
        <f t="shared" si="106"/>
      </c>
      <c r="H121" s="77"/>
      <c r="I121" s="77"/>
      <c r="J121" s="220"/>
      <c r="K121" s="220"/>
      <c r="L121" s="74"/>
      <c r="M121" s="71"/>
      <c r="N121" s="71"/>
      <c r="O121" s="72">
        <f t="shared" si="104"/>
      </c>
    </row>
    <row r="122" spans="2:15" ht="39.75" customHeight="1">
      <c r="B122" s="223"/>
      <c r="C122" s="223"/>
      <c r="D122" s="76"/>
      <c r="E122" s="71"/>
      <c r="F122" s="71"/>
      <c r="G122" s="72">
        <f t="shared" si="106"/>
      </c>
      <c r="H122" s="77"/>
      <c r="I122" s="77"/>
      <c r="J122" s="220"/>
      <c r="K122" s="220"/>
      <c r="L122" s="74"/>
      <c r="M122" s="71"/>
      <c r="N122" s="71"/>
      <c r="O122" s="72">
        <f t="shared" si="104"/>
      </c>
    </row>
    <row r="123" spans="2:15" ht="39.75" customHeight="1">
      <c r="B123" s="223"/>
      <c r="C123" s="223"/>
      <c r="D123" s="76"/>
      <c r="E123" s="71"/>
      <c r="F123" s="71"/>
      <c r="G123" s="72">
        <f t="shared" si="106"/>
      </c>
      <c r="H123" s="77"/>
      <c r="I123" s="77"/>
      <c r="J123" s="220"/>
      <c r="K123" s="220"/>
      <c r="L123" s="74"/>
      <c r="M123" s="71"/>
      <c r="N123" s="71"/>
      <c r="O123" s="72">
        <f t="shared" si="104"/>
      </c>
    </row>
    <row r="124" spans="2:15" ht="39.75" customHeight="1">
      <c r="B124" s="223"/>
      <c r="C124" s="223"/>
      <c r="D124" s="76"/>
      <c r="E124" s="71"/>
      <c r="F124" s="71"/>
      <c r="G124" s="72">
        <f t="shared" si="106"/>
      </c>
      <c r="H124" s="77"/>
      <c r="I124" s="77"/>
      <c r="J124" s="220"/>
      <c r="K124" s="220"/>
      <c r="L124" s="74"/>
      <c r="M124" s="71"/>
      <c r="N124" s="71"/>
      <c r="O124" s="72">
        <f t="shared" si="104"/>
      </c>
    </row>
    <row r="125" spans="2:16" ht="39.75" customHeight="1">
      <c r="B125" s="223">
        <f ca="1">IF(OR(YEAR(TODAY())=2006,YEAR(TODAY()+1)=2006,G3=2006),P125,"")</f>
      </c>
      <c r="C125" s="223"/>
      <c r="D125" s="70">
        <f ca="1">IF(OR(YEAR(TODAY())=2006,YEAR(TODAY()+1)=2006,G3=2006),"Veteran's Day","")</f>
      </c>
      <c r="E125" s="71"/>
      <c r="F125" s="71"/>
      <c r="G125" s="72">
        <f t="shared" si="106"/>
      </c>
      <c r="H125" s="73"/>
      <c r="I125" s="73"/>
      <c r="J125" s="220"/>
      <c r="K125" s="220"/>
      <c r="L125" s="74"/>
      <c r="M125" s="71"/>
      <c r="N125" s="71"/>
      <c r="O125" s="72">
        <f t="shared" si="104"/>
      </c>
      <c r="P125" s="66">
        <v>39031</v>
      </c>
    </row>
    <row r="126" spans="2:16" ht="39.75" customHeight="1">
      <c r="B126" s="223">
        <f ca="1">IF(OR(YEAR(TODAY())=2004,G3=2004),P126,"")</f>
      </c>
      <c r="C126" s="223"/>
      <c r="D126" s="70">
        <f ca="1">IF(OR(YEAR(TODAY())=2004,YEAR(TODAY()+1)=2004,G3=2004),"Independence Day","")</f>
      </c>
      <c r="E126" s="71"/>
      <c r="F126" s="71"/>
      <c r="G126" s="72">
        <f t="shared" si="106"/>
      </c>
      <c r="H126" s="73"/>
      <c r="I126" s="73"/>
      <c r="J126" s="220"/>
      <c r="K126" s="220"/>
      <c r="L126" s="74"/>
      <c r="M126" s="71"/>
      <c r="N126" s="71"/>
      <c r="O126" s="72">
        <f t="shared" si="104"/>
      </c>
      <c r="P126" s="66">
        <v>38173</v>
      </c>
    </row>
    <row r="127" spans="2:15" ht="39.75" customHeight="1">
      <c r="B127" s="223"/>
      <c r="C127" s="224"/>
      <c r="D127" s="75"/>
      <c r="E127" s="78"/>
      <c r="F127" s="78"/>
      <c r="G127" s="72"/>
      <c r="H127" s="78"/>
      <c r="I127" s="78"/>
      <c r="J127" s="220"/>
      <c r="K127" s="220"/>
      <c r="L127" s="74"/>
      <c r="M127" s="78"/>
      <c r="N127" s="78"/>
      <c r="O127" s="72"/>
    </row>
    <row r="128" ht="13.5">
      <c r="A128" s="63">
        <v>1</v>
      </c>
    </row>
  </sheetData>
  <sheetProtection/>
  <mergeCells count="226">
    <mergeCell ref="T82:AA82"/>
    <mergeCell ref="T81:AA81"/>
    <mergeCell ref="B70:C70"/>
    <mergeCell ref="B71:C71"/>
    <mergeCell ref="B72:C72"/>
    <mergeCell ref="B73:C73"/>
    <mergeCell ref="B74:C74"/>
    <mergeCell ref="B75:C75"/>
    <mergeCell ref="B76:C76"/>
    <mergeCell ref="B77:C77"/>
    <mergeCell ref="B78:C78"/>
    <mergeCell ref="B79:C79"/>
    <mergeCell ref="B81:C81"/>
    <mergeCell ref="B80:C80"/>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J70:K70"/>
    <mergeCell ref="J71:K71"/>
    <mergeCell ref="J72:K72"/>
    <mergeCell ref="J73:K73"/>
    <mergeCell ref="J74:K74"/>
    <mergeCell ref="J75:K75"/>
    <mergeCell ref="J76:K76"/>
    <mergeCell ref="J77:K77"/>
    <mergeCell ref="J85:K85"/>
    <mergeCell ref="J78:K78"/>
    <mergeCell ref="J79:K79"/>
    <mergeCell ref="J80:K80"/>
    <mergeCell ref="J81:K81"/>
    <mergeCell ref="J82:K82"/>
    <mergeCell ref="J90:K90"/>
    <mergeCell ref="J91:K91"/>
    <mergeCell ref="J92:K92"/>
    <mergeCell ref="B5:D5"/>
    <mergeCell ref="J5:L5"/>
    <mergeCell ref="J86:K86"/>
    <mergeCell ref="J87:K87"/>
    <mergeCell ref="J88:K88"/>
    <mergeCell ref="J89:K89"/>
    <mergeCell ref="J83:K83"/>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9:K119"/>
    <mergeCell ref="J120:K120"/>
    <mergeCell ref="J113:K113"/>
    <mergeCell ref="J114:K114"/>
    <mergeCell ref="J115:K115"/>
    <mergeCell ref="J116:K116"/>
    <mergeCell ref="J125:K125"/>
    <mergeCell ref="J126:K126"/>
    <mergeCell ref="J127:K127"/>
    <mergeCell ref="J37:L37"/>
    <mergeCell ref="J121:K121"/>
    <mergeCell ref="J122:K122"/>
    <mergeCell ref="J123:K123"/>
    <mergeCell ref="J124:K124"/>
    <mergeCell ref="J117:K117"/>
    <mergeCell ref="J118:K118"/>
    <mergeCell ref="T3:X4"/>
    <mergeCell ref="AA3:AC3"/>
    <mergeCell ref="R5:T5"/>
    <mergeCell ref="B21:D21"/>
    <mergeCell ref="J21:L21"/>
    <mergeCell ref="R21:T21"/>
    <mergeCell ref="B2:G2"/>
    <mergeCell ref="R37:T37"/>
    <mergeCell ref="J53:L53"/>
    <mergeCell ref="R53:T53"/>
    <mergeCell ref="B37:D37"/>
    <mergeCell ref="B53:D53"/>
    <mergeCell ref="D70:F70"/>
    <mergeCell ref="L70:N70"/>
    <mergeCell ref="D71:F71"/>
    <mergeCell ref="D72:F72"/>
    <mergeCell ref="D73:F73"/>
    <mergeCell ref="L84:N84"/>
    <mergeCell ref="J84:K84"/>
    <mergeCell ref="D74:F74"/>
    <mergeCell ref="D75:F75"/>
    <mergeCell ref="D76:F76"/>
    <mergeCell ref="D77:F77"/>
    <mergeCell ref="L80:N80"/>
    <mergeCell ref="P101:T101"/>
    <mergeCell ref="U101:V101"/>
    <mergeCell ref="L87:N87"/>
    <mergeCell ref="L88:N88"/>
    <mergeCell ref="L94:N94"/>
    <mergeCell ref="L95:N95"/>
    <mergeCell ref="L96:N96"/>
    <mergeCell ref="U102:V102"/>
    <mergeCell ref="P103:T103"/>
    <mergeCell ref="U103:V103"/>
    <mergeCell ref="P104:T104"/>
    <mergeCell ref="U104:V104"/>
    <mergeCell ref="L97:N97"/>
    <mergeCell ref="L98:N98"/>
    <mergeCell ref="L99:N99"/>
    <mergeCell ref="P100:T100"/>
    <mergeCell ref="U100:V100"/>
    <mergeCell ref="P105:T105"/>
    <mergeCell ref="U105:V105"/>
    <mergeCell ref="P106:T106"/>
    <mergeCell ref="U106:V106"/>
    <mergeCell ref="P107:T107"/>
    <mergeCell ref="U107:V107"/>
    <mergeCell ref="P108:T108"/>
    <mergeCell ref="U108:V108"/>
    <mergeCell ref="U109:V109"/>
    <mergeCell ref="U110:V110"/>
    <mergeCell ref="P111:T111"/>
    <mergeCell ref="U111:V111"/>
    <mergeCell ref="P112:T112"/>
    <mergeCell ref="U112:V112"/>
    <mergeCell ref="P113:T113"/>
    <mergeCell ref="U113:V113"/>
    <mergeCell ref="P114:T114"/>
    <mergeCell ref="U114:V114"/>
    <mergeCell ref="P115:T115"/>
    <mergeCell ref="U115:V115"/>
    <mergeCell ref="D87:F87"/>
    <mergeCell ref="D88:F88"/>
    <mergeCell ref="D78:F78"/>
    <mergeCell ref="D79:F79"/>
    <mergeCell ref="D81:F81"/>
    <mergeCell ref="D82:F82"/>
    <mergeCell ref="D83:F83"/>
    <mergeCell ref="D84:F84"/>
    <mergeCell ref="D80:F80"/>
    <mergeCell ref="D99:F99"/>
    <mergeCell ref="D100:F100"/>
    <mergeCell ref="D93:F93"/>
    <mergeCell ref="D94:F94"/>
    <mergeCell ref="D95:F95"/>
    <mergeCell ref="D96:F96"/>
    <mergeCell ref="L78:N78"/>
    <mergeCell ref="L79:N79"/>
    <mergeCell ref="D97:F97"/>
    <mergeCell ref="D98:F98"/>
    <mergeCell ref="D89:F89"/>
    <mergeCell ref="D90:F90"/>
    <mergeCell ref="D91:F91"/>
    <mergeCell ref="D92:F92"/>
    <mergeCell ref="D85:F85"/>
    <mergeCell ref="D86:F86"/>
    <mergeCell ref="D101:F101"/>
    <mergeCell ref="L71:N71"/>
    <mergeCell ref="L72:N72"/>
    <mergeCell ref="L73:N73"/>
    <mergeCell ref="L74:N74"/>
    <mergeCell ref="L75:N75"/>
    <mergeCell ref="L76:N76"/>
    <mergeCell ref="L77:N77"/>
    <mergeCell ref="L100:N100"/>
    <mergeCell ref="L93:N93"/>
    <mergeCell ref="Q80:T80"/>
    <mergeCell ref="L89:N89"/>
    <mergeCell ref="L90:N90"/>
    <mergeCell ref="L91:N91"/>
    <mergeCell ref="L92:N92"/>
    <mergeCell ref="L85:N85"/>
    <mergeCell ref="L86:N86"/>
    <mergeCell ref="L81:N81"/>
    <mergeCell ref="L83:N83"/>
    <mergeCell ref="L82:N82"/>
  </mergeCells>
  <conditionalFormatting sqref="H7">
    <cfRule type="expression" priority="1" dxfId="17" stopIfTrue="1">
      <formula>AND((WEEKDAY(DATE(YEAR($A$2),MONTH($A$2),DAY($A$2)))=7),$G$2="")</formula>
    </cfRule>
    <cfRule type="expression" priority="2" dxfId="17" stopIfTrue="1">
      <formula>AND((WEEKDAY(DATE(YEAR($A$2),MONTH($A$2),DAY($A$2)))=7),YEAR($AA$2)=YEAR(TODAY()),$G$2&lt;&gt;"",OR(MONTH($A$2)=1,MONTH($A$2)=4,MONTH($A$2)=7,MONTH($A$2)=10))</formula>
    </cfRule>
  </conditionalFormatting>
  <conditionalFormatting sqref="L7 T7 D23 L23 T23 D39 L39 T39 D55 L55 T55">
    <cfRule type="expression" priority="3" dxfId="29" stopIfTrue="1">
      <formula>AND((WEEKDAY(DATE(YEAR($A$2),MONTH($A$2),DAY($A$2)))=3),YEAR($AA$2)=YEAR(TODAY()),$G$2&lt;&gt;"",OR(MONTH($A$2)=2,MONTH($A$2)=5,MONTH($A$2)=8,MONTH($A$2)=11))</formula>
    </cfRule>
  </conditionalFormatting>
  <conditionalFormatting sqref="M7 U7 E23 M23 U23 E39 M39 U39 E55 M55 U55">
    <cfRule type="expression" priority="4" dxfId="26" stopIfTrue="1">
      <formula>AND((WEEKDAY(DATE(YEAR($A$2),MONTH($A$2),DAY($A$2)))=4),YEAR($AA$2)=YEAR(TODAY()),$G$2&lt;&gt;"",OR(MONTH($A$2)=2,MONTH($A$2)=5,MONTH($A$2)=8,MONTH($A$2)=11))</formula>
    </cfRule>
  </conditionalFormatting>
  <conditionalFormatting sqref="N7 V7 F23 N23 V23 F39 N39 V39 F55 N55 V55">
    <cfRule type="expression" priority="5" dxfId="23" stopIfTrue="1">
      <formula>AND((WEEKDAY(DATE(YEAR($A$2),MONTH($A$2),DAY($A$2)))=5),YEAR($AA$2)=YEAR(TODAY()),$G$2&lt;&gt;"",OR(MONTH($A$2)=2,MONTH($A$2)=5,MONTH($A$2)=8,MONTH($A$2)=11))</formula>
    </cfRule>
  </conditionalFormatting>
  <conditionalFormatting sqref="O7 W7 G23 O23 W23 G39 O39 W39 G55 O55 W55">
    <cfRule type="expression" priority="6" dxfId="20" stopIfTrue="1">
      <formula>AND((WEEKDAY(DATE(YEAR($A$2),MONTH($A$2),DAY($A$2)))=6),YEAR($AA$2)=YEAR(TODAY()),$G$2&lt;&gt;"",OR(MONTH($A$2)=2,MONTH($A$2)=5,MONTH($A$2)=8,MONTH($A$2)=11))</formula>
    </cfRule>
  </conditionalFormatting>
  <conditionalFormatting sqref="K7 S7 C23 K23 S23 C39 K39 S39 C55 K55 S55">
    <cfRule type="expression" priority="7" dxfId="35" stopIfTrue="1">
      <formula>AND((WEEKDAY(DATE(YEAR($A$2),MONTH($A$2),DAY($A$2)))=2),YEAR($AA$2)=YEAR(TODAY()),$G$2&lt;&gt;"",OR(MONTH($A$2)=2,MONTH($A$2)=5,MONTH($A$2)=8,MONTH($A$2)=11))</formula>
    </cfRule>
  </conditionalFormatting>
  <conditionalFormatting sqref="P7 X7 H23 P23 X23 H39 P39 X39 H55 P55 X55">
    <cfRule type="expression" priority="8" dxfId="17" stopIfTrue="1">
      <formula>AND((WEEKDAY(DATE(YEAR($A$2),MONTH($A$2),DAY($A$2)))=7),YEAR($AA$2)=YEAR(TODAY()),$G$2&lt;&gt;"",OR(MONTH($A$2)=2,MONTH($A$2)=5,MONTH($A$2)=8,MONTH($A$2)=11))</formula>
    </cfRule>
  </conditionalFormatting>
  <conditionalFormatting sqref="G7">
    <cfRule type="expression" priority="9" dxfId="20" stopIfTrue="1">
      <formula>AND((WEEKDAY(DATE(YEAR($A$2),MONTH($A$2),DAY($A$2)))=6),$G$3="")</formula>
    </cfRule>
    <cfRule type="expression" priority="10" dxfId="20" stopIfTrue="1">
      <formula>AND((WEEKDAY(DATE(YEAR($A$2),MONTH($A$2),DAY($A$2)))=6),YEAR(AA3)=YEAR(TODAY()),$G$3&lt;&gt;"",OR(MONTH($A$2)=1,MONTH($A$2)=4,MONTH($A$2)=7,MONTH($A$2)=10))</formula>
    </cfRule>
  </conditionalFormatting>
  <conditionalFormatting sqref="C7">
    <cfRule type="expression" priority="11" dxfId="35" stopIfTrue="1">
      <formula>AND((WEEKDAY(DATE(YEAR($A$2),MONTH($A$2),DAY($A$2)))=2),$G$3="")</formula>
    </cfRule>
    <cfRule type="expression" priority="12" dxfId="35" stopIfTrue="1">
      <formula>AND((WEEKDAY(DATE(YEAR($A$2),MONTH($A$2),DAY($A$2)))=2),YEAR(AA3)=YEAR(TODAY()),$G$3&lt;&gt;"",OR(MONTH($A$2)=1,MONTH($A$2)=4,MONTH($A$2)=7,MONTH($A$2)=10))</formula>
    </cfRule>
  </conditionalFormatting>
  <conditionalFormatting sqref="D7">
    <cfRule type="expression" priority="13" dxfId="29" stopIfTrue="1">
      <formula>AND((WEEKDAY(DATE(YEAR($A$2),MONTH($A$2),DAY($A$2)))=3),$G$3="")</formula>
    </cfRule>
    <cfRule type="expression" priority="14" dxfId="29" stopIfTrue="1">
      <formula>AND((WEEKDAY(DATE(YEAR($A$2),MONTH($A$2),DAY($A$2)))=3),YEAR(AA3)=YEAR(TODAY()),$G$3&lt;&gt;"",OR(MONTH($A$2)=1,MONTH($A$2)=4,MONTH($A$2)=7,MONTH($A$2)=10))</formula>
    </cfRule>
  </conditionalFormatting>
  <conditionalFormatting sqref="E7">
    <cfRule type="expression" priority="15" dxfId="26" stopIfTrue="1">
      <formula>AND((WEEKDAY(DATE(YEAR($A$2),MONTH($A$2),DAY($A$2)))=4),$G$3="")</formula>
    </cfRule>
    <cfRule type="expression" priority="16" dxfId="26" stopIfTrue="1">
      <formula>AND((WEEKDAY(DATE(YEAR($A$2),MONTH($A$2),DAY($A$2)))=4),YEAR(AA3)=YEAR(TODAY()),$G$3&lt;&gt;"",OR(MONTH($A$2)=1,MONTH($A$2)=4,MONTH($A$2)=7,MONTH($A$2)=10))</formula>
    </cfRule>
  </conditionalFormatting>
  <conditionalFormatting sqref="F7">
    <cfRule type="expression" priority="17" dxfId="23" stopIfTrue="1">
      <formula>AND((WEEKDAY(DATE(YEAR($A$2),MONTH($A$2),DAY($A$2)))=5),$G$3="")</formula>
    </cfRule>
    <cfRule type="expression" priority="18" dxfId="23" stopIfTrue="1">
      <formula>AND((WEEKDAY(DATE(YEAR($A$2),MONTH($A$2),DAY($A$2)))=5),YEAR(AA3)=YEAR(TODAY()),$G$3&lt;&gt;"",OR(MONTH($A$2)=1,MONTH($A$2)=4,MONTH($A$2)=7,MONTH($A$2)=10))</formula>
    </cfRule>
  </conditionalFormatting>
  <conditionalFormatting sqref="H94:I94 H103:I126 H70:H71 H73:H83 I70:I83 D70:D126">
    <cfRule type="expression" priority="19" dxfId="326" stopIfTrue="1">
      <formula>($B70&lt;TODAY())</formula>
    </cfRule>
    <cfRule type="expression" priority="20" dxfId="328" stopIfTrue="1">
      <formula>AND(DATEDIF(TODAY(),$B70,"ym")=0,DATEDIF(TODAY(),$B70,"y")=0,NOT(AND(MONTH($B70)=12,DAY($B70)=25)))</formula>
    </cfRule>
    <cfRule type="expression" priority="21" dxfId="329" stopIfTrue="1">
      <formula>AND(DATEDIF(TODAY(),$B70,"ym")=0,DATEDIF(TODAY(),$B70,"y")=0,AND(MONTH($B70)=12,DAY($B70)=25))</formula>
    </cfRule>
  </conditionalFormatting>
  <conditionalFormatting sqref="J43:P43 K44 B47:H47 R47:X47 S56 S44 C44 J45:P45 C60 C8 B9:H9 C10 B11:H11 C12 B13:H13 C14 B15:H15 J61:P61 R61:X61 B61:H61 C62 K8 J9:P9 K10 J11:P11 K12 J13:P13 K14 J15:P15 K62 S62 R45:X45 S8 R9:X9 S10 R11:X11 S12 R13:X13 S14 R15:X15 R63:X63 B63:H63 J63:P63 C24 K24 S24 R25:X25 B25:H25 J25:P25 S26 C26 K26 R27:X27 B27:H27 J27:P27 K28 S28 C28 J29:P29 R29:X29 B29:H29 C30 K30 S30 B31:H31 J31:P31 R31:X31 B45:H45 S58 C58 K58 R59:X59 B59:H59 J59:P59 K60 S60 S40 K40 C40 J41:P41 R41:X41 B41:H41 K56 C56 B57:H57 J57:P57 R57:X57 C46 K46 S46 J47:P47 S42 C42 K42 R43:X43 B43:H43">
    <cfRule type="expression" priority="22" dxfId="35" stopIfTrue="1">
      <formula>AND(B8=TODAY(),((WEEKDAY(DATE(YEAR(B8),MONTH(B8),DAY(B8)))=2)))</formula>
    </cfRule>
    <cfRule type="expression" priority="23" dxfId="326" stopIfTrue="1">
      <formula>(B8&lt;TODAY())</formula>
    </cfRule>
    <cfRule type="expression" priority="24" dxfId="327" stopIfTrue="1">
      <formula>AND(COUNTIF($B$70:$B$124,B8)=1,B8&gt;=TODAY())</formula>
    </cfRule>
  </conditionalFormatting>
  <conditionalFormatting sqref="T42 D46 T56 T44 D60 D8 D10 D12 D14 L60 L62 T62 L8 L10 L12 L14 D62 T8 T10 T12 T14 D44 D24 L24 T24 T26 D26 L26 L28 T28 D28 D30 L30 T30 L44 D58 L58 T58 T60 T40 L40 D40 L56 D56 L46 T46 D42 L42">
    <cfRule type="expression" priority="25" dxfId="29" stopIfTrue="1">
      <formula>AND(D8=TODAY(),((WEEKDAY(DATE(YEAR(D8),MONTH(D8),DAY(D8)))=3)))</formula>
    </cfRule>
    <cfRule type="expression" priority="26" dxfId="326" stopIfTrue="1">
      <formula>(D8&lt;TODAY())</formula>
    </cfRule>
    <cfRule type="expression" priority="27" dxfId="327" stopIfTrue="1">
      <formula>AND(COUNTIF($B$70:$B$124,D8)=1,D8&gt;=TODAY())</formula>
    </cfRule>
  </conditionalFormatting>
  <conditionalFormatting sqref="U42 E46 U56 U44 E60 E10 E12 E14 M60 M62 U62 M8 M10 M12 M14 E62 U8 U10 U12 U14 E44 E24 M24 U24 U26 E26 M26 M28 U28 E28 E30 M30 U30 M44 E58 M58 U58 U60 U40 M40 E40 M56 E56 M46 U46 E42 M42">
    <cfRule type="expression" priority="28" dxfId="26" stopIfTrue="1">
      <formula>AND(E8=TODAY(),((WEEKDAY(DATE(YEAR(E8),MONTH(E8),DAY(E8)))=4)))</formula>
    </cfRule>
    <cfRule type="expression" priority="29" dxfId="326" stopIfTrue="1">
      <formula>(E8&lt;TODAY())</formula>
    </cfRule>
    <cfRule type="expression" priority="30" dxfId="327" stopIfTrue="1">
      <formula>AND(COUNTIF($B$70:$B$124,E8)=1,E8&gt;=TODAY())</formula>
    </cfRule>
  </conditionalFormatting>
  <conditionalFormatting sqref="V42 F46 V56 V44 F60 F8 F10 F12 F14 N60 N62 V62 N8 N10 N12 N14 F62 V8 V10 V12 V14 F44 F24 N24 V24 V26 F26 N26 N28 V28 F28 F30 N30 V30 N44 F58 N58 V58 V60 V40 N40 F40 N56 F56 N46 V46 F42 N42">
    <cfRule type="expression" priority="31" dxfId="23" stopIfTrue="1">
      <formula>AND(F8=TODAY(),((WEEKDAY(DATE(YEAR(F8),MONTH(F8),DAY(F8)))=5)))</formula>
    </cfRule>
    <cfRule type="expression" priority="32" dxfId="326" stopIfTrue="1">
      <formula>(F8&lt;TODAY())</formula>
    </cfRule>
    <cfRule type="expression" priority="33" dxfId="327" stopIfTrue="1">
      <formula>AND(COUNTIF($B$70:$B$124,F8)=1,F8&gt;=TODAY())</formula>
    </cfRule>
  </conditionalFormatting>
  <conditionalFormatting sqref="W42 G46 W56 W44 G60 G8 G10 G12 G14 O60 O62 W62 O8 O10 O12 O14 G62 W8 W10 W12 W14 G44 G24 O24 W24 W26 G26 O26 O28 W28 G28 G30 O30 W30 O44 G58 O58 W58 W60 W40 O40 G40 O56 G56 O46 W46 G42 O42">
    <cfRule type="expression" priority="34" dxfId="20" stopIfTrue="1">
      <formula>AND(G8=TODAY(),((WEEKDAY(DATE(YEAR(G8),MONTH(G8),DAY(G8)))=6)))</formula>
    </cfRule>
    <cfRule type="expression" priority="35" dxfId="326" stopIfTrue="1">
      <formula>(G8&lt;TODAY())</formula>
    </cfRule>
    <cfRule type="expression" priority="36" dxfId="327" stopIfTrue="1">
      <formula>AND(COUNTIF($B$70:$B$124,G8)=1,G8&gt;=TODAY())</formula>
    </cfRule>
  </conditionalFormatting>
  <conditionalFormatting sqref="B42 J42 J44 J60 J46 R46 J58 R44 J56 B8 B10 B12 B14 B60 B62 R62 J8 J10 J12 J14 J62 R8 R10 R12 R14 B44 B24 R24 J24 J26 B26 R26 R28 J28 B28 B30 R30 J30 B58 R58 R60 R40 J40 B40 R56 B56 B46 R42">
    <cfRule type="expression" priority="37" dxfId="32" stopIfTrue="1">
      <formula>AND(B8=TODAY(),((WEEKDAY(DATE(YEAR(B8),MONTH(B8),DAY(B8)))=1)))</formula>
    </cfRule>
    <cfRule type="expression" priority="38" dxfId="326" stopIfTrue="1">
      <formula>(B8&lt;TODAY())</formula>
    </cfRule>
    <cfRule type="expression" priority="39" dxfId="327" stopIfTrue="1">
      <formula>AND(COUNTIF($B$70:$B$124,B8)&gt;=1,B8&gt;=TODAY())</formula>
    </cfRule>
  </conditionalFormatting>
  <conditionalFormatting sqref="X42 H60 H46 X44 H44 P56 H8 H10 H12 H14 P60 P62 X62 P8 P10 P12 P14 H62 X8 X10 X12 X14 P44 P24 X24 H24 H26 P26 X26 X28 H28 P28 P30 X30 H30 H58 P58 X58 X60 X40 P40 H40 X56 H56 P46 X46 H42 P42">
    <cfRule type="expression" priority="40" dxfId="17" stopIfTrue="1">
      <formula>AND(H8=TODAY(),((WEEKDAY(DATE(YEAR(H8),MONTH(H8),DAY(H8)))=7)))</formula>
    </cfRule>
    <cfRule type="expression" priority="41" dxfId="326" stopIfTrue="1">
      <formula>(H8&lt;TODAY())</formula>
    </cfRule>
    <cfRule type="expression" priority="42" dxfId="327" stopIfTrue="1">
      <formula>AND(COUNTIF($B$70:$B$124,H8)&gt;=1,H8&gt;=TODAY())</formula>
    </cfRule>
  </conditionalFormatting>
  <conditionalFormatting sqref="E8">
    <cfRule type="expression" priority="43" dxfId="26" stopIfTrue="1">
      <formula>AND(E8=TODAY(),((WEEKDAY(DATE(YEAR(E8),MONTH(E8),DAY(E8)))=4)))</formula>
    </cfRule>
    <cfRule type="expression" priority="44" dxfId="326" stopIfTrue="1">
      <formula>(E8&lt;TODAY())</formula>
    </cfRule>
    <cfRule type="expression" priority="45" dxfId="327" stopIfTrue="1">
      <formula>AND(COUNTIF($B$70:$B$124,E8)&gt;=1,E8&gt;=TODAY())</formula>
    </cfRule>
  </conditionalFormatting>
  <conditionalFormatting sqref="C82:C85 C100:C126 C70:C72 C75 C77 M101:N126 C88 C90:C91 C93:C95 C97:C98 E102:F126 B70:B127">
    <cfRule type="expression" priority="46" dxfId="326" stopIfTrue="1">
      <formula>($B70&lt;TODAY())</formula>
    </cfRule>
  </conditionalFormatting>
  <conditionalFormatting sqref="J70:K127">
    <cfRule type="expression" priority="47" dxfId="326" stopIfTrue="1">
      <formula>(J70&lt;TODAY())</formula>
    </cfRule>
  </conditionalFormatting>
  <conditionalFormatting sqref="L70:L127">
    <cfRule type="expression" priority="48" dxfId="326" stopIfTrue="1">
      <formula>(J70&lt;TODAY())</formula>
    </cfRule>
    <cfRule type="expression" priority="49" dxfId="328" stopIfTrue="1">
      <formula>AND(DATEDIF(TODAY(),J70,"ym")=0,DATEDIF(TODAY(),J70,"y")=0,NOT(AND(MONTH(J70)=12,DAY(J70)=25)))</formula>
    </cfRule>
    <cfRule type="expression" priority="50" dxfId="329" stopIfTrue="1">
      <formula>AND(DATEDIF(TODAY(),J70,"ym")=0,DATEDIF(TODAY(),J70,"y")=0,AND(MONTH(J70)=12,DAY(J70)=25))</formula>
    </cfRule>
  </conditionalFormatting>
  <conditionalFormatting sqref="O70:O127">
    <cfRule type="expression" priority="51" dxfId="326" stopIfTrue="1">
      <formula>(J70&lt;TODAY())</formula>
    </cfRule>
  </conditionalFormatting>
  <conditionalFormatting sqref="G70:G127">
    <cfRule type="expression" priority="52" dxfId="326" stopIfTrue="1">
      <formula>B70&lt;TODAY()</formula>
    </cfRule>
  </conditionalFormatting>
  <conditionalFormatting sqref="B17:H17 J17:P17 R17:X17 B33:H33 J33:P33 R33:X33 B49:H49 J49:P49 R49:X49 R65:X65 B65:H65 J65:P65">
    <cfRule type="expression" priority="53" dxfId="326" stopIfTrue="1">
      <formula>(B17&lt;TODAY())</formula>
    </cfRule>
    <cfRule type="expression" priority="54" dxfId="327" stopIfTrue="1">
      <formula>AND(COUNTIF($B$70:$B$124,B17)=1,B17&gt;=TODAY())</formula>
    </cfRule>
    <cfRule type="expression" priority="55" dxfId="42" stopIfTrue="1">
      <formula>B16=""</formula>
    </cfRule>
  </conditionalFormatting>
  <conditionalFormatting sqref="I18 Q18 I34 Q34 Q50 I50 I66 Q66">
    <cfRule type="expression" priority="56" dxfId="42" stopIfTrue="1">
      <formula>J18=""</formula>
    </cfRule>
  </conditionalFormatting>
  <conditionalFormatting sqref="I19 Q19 I35 Q35 Q51 I51 I67 Q67">
    <cfRule type="expression" priority="57" dxfId="42" stopIfTrue="1">
      <formula>J18=""</formula>
    </cfRule>
  </conditionalFormatting>
  <conditionalFormatting sqref="I16 Q16 I32 Q32 Q48 I48 A50 I64 Q64">
    <cfRule type="expression" priority="58" dxfId="332" stopIfTrue="1">
      <formula>B16=""</formula>
    </cfRule>
  </conditionalFormatting>
  <conditionalFormatting sqref="I17 Q17 I33 Q33 Q49 I49 A51 I65 Q65">
    <cfRule type="expression" priority="59" dxfId="332" stopIfTrue="1">
      <formula>B16=""</formula>
    </cfRule>
  </conditionalFormatting>
  <conditionalFormatting sqref="R19:S19 J19:K19 B67:C67 R35:S35 J35:K35 B35:C35 R51:S51 J51:K51 B51:C51 R67:S67 J67:K67 B19:C19">
    <cfRule type="expression" priority="60" dxfId="333" stopIfTrue="1">
      <formula>(B18="")</formula>
    </cfRule>
    <cfRule type="expression" priority="61" dxfId="327" stopIfTrue="1">
      <formula>AND(COUNTIF($B$70:$B$124,B19)=1,B19&gt;=TODAY())</formula>
    </cfRule>
    <cfRule type="expression" priority="62" dxfId="334" stopIfTrue="1">
      <formula>(B19&lt;TODAY())</formula>
    </cfRule>
  </conditionalFormatting>
  <conditionalFormatting sqref="J64:P64 R18:S18 J16:P16 R16:X16 J18:K18 R64:X64 B32:H32 J32:P32 R32:X32 B34:C34 J34:K34 R34:S34 B48:H48 J48:P48 R48:X48 B50:C50 J50:K50 R50:S50 B66:C66 J66:K66 R66:S66 B64:H64">
    <cfRule type="expression" priority="63" dxfId="335" stopIfTrue="1">
      <formula>B16=""</formula>
    </cfRule>
    <cfRule type="expression" priority="64" dxfId="327" stopIfTrue="1">
      <formula>AND(COUNTIF($B$70:$B$124,B16)&gt;=1,B16&gt;=TODAY())</formula>
    </cfRule>
    <cfRule type="expression" priority="65" dxfId="334" stopIfTrue="1">
      <formula>B16&lt;TODAY()</formula>
    </cfRule>
  </conditionalFormatting>
  <conditionalFormatting sqref="C18 C16">
    <cfRule type="expression" priority="66" dxfId="335" stopIfTrue="1">
      <formula>C16=""</formula>
    </cfRule>
    <cfRule type="expression" priority="67" dxfId="336" stopIfTrue="1">
      <formula>AND(COUNTIF($B$70:$B$124,C16)&gt;=1,C16&gt;=TODAY())</formula>
    </cfRule>
    <cfRule type="expression" priority="68" dxfId="334" stopIfTrue="1">
      <formula>C16&lt;TODAY()</formula>
    </cfRule>
  </conditionalFormatting>
  <conditionalFormatting sqref="B18 B16">
    <cfRule type="expression" priority="69" dxfId="335" stopIfTrue="1">
      <formula>B16=""</formula>
    </cfRule>
    <cfRule type="expression" priority="70" dxfId="337" stopIfTrue="1">
      <formula>AND(COUNTIF($B$70:$B$124,B16)&gt;=1,B16&gt;=TODAY())</formula>
    </cfRule>
    <cfRule type="expression" priority="71" dxfId="334" stopIfTrue="1">
      <formula>B16&lt;TODAY()</formula>
    </cfRule>
  </conditionalFormatting>
  <conditionalFormatting sqref="D16">
    <cfRule type="expression" priority="72" dxfId="335" stopIfTrue="1">
      <formula>D16=""</formula>
    </cfRule>
    <cfRule type="expression" priority="73" dxfId="338" stopIfTrue="1">
      <formula>AND(COUNTIF($B$70:$B$124,D16)&gt;=1,D16&gt;=TODAY())</formula>
    </cfRule>
    <cfRule type="expression" priority="74" dxfId="334" stopIfTrue="1">
      <formula>D16&lt;TODAY()</formula>
    </cfRule>
  </conditionalFormatting>
  <conditionalFormatting sqref="E16">
    <cfRule type="expression" priority="75" dxfId="335" stopIfTrue="1">
      <formula>E16=""</formula>
    </cfRule>
    <cfRule type="expression" priority="76" dxfId="339" stopIfTrue="1">
      <formula>AND(COUNTIF($B$70:$B$124,E16)&gt;=1,E16&gt;=TODAY())</formula>
    </cfRule>
    <cfRule type="expression" priority="77" dxfId="334" stopIfTrue="1">
      <formula>E16&lt;TODAY()</formula>
    </cfRule>
  </conditionalFormatting>
  <conditionalFormatting sqref="F16">
    <cfRule type="expression" priority="78" dxfId="335" stopIfTrue="1">
      <formula>F16=""</formula>
    </cfRule>
    <cfRule type="expression" priority="79" dxfId="340" stopIfTrue="1">
      <formula>AND(COUNTIF($B$70:$B$124,F16)&gt;=1,F16&gt;=TODAY())</formula>
    </cfRule>
    <cfRule type="expression" priority="80" dxfId="334" stopIfTrue="1">
      <formula>F16&lt;TODAY()</formula>
    </cfRule>
  </conditionalFormatting>
  <conditionalFormatting sqref="G16">
    <cfRule type="expression" priority="81" dxfId="335" stopIfTrue="1">
      <formula>G16=""</formula>
    </cfRule>
    <cfRule type="expression" priority="82" dxfId="341" stopIfTrue="1">
      <formula>AND(COUNTIF($B$70:$B$124,G16)&gt;=1,G16&gt;=TODAY())</formula>
    </cfRule>
    <cfRule type="expression" priority="83" dxfId="334" stopIfTrue="1">
      <formula>G16&lt;TODAY()</formula>
    </cfRule>
  </conditionalFormatting>
  <conditionalFormatting sqref="H16">
    <cfRule type="expression" priority="84" dxfId="335" stopIfTrue="1">
      <formula>H16=""</formula>
    </cfRule>
    <cfRule type="expression" priority="85" dxfId="342" stopIfTrue="1">
      <formula>AND(COUNTIF($B$70:$B$124,H16)&gt;=1,H16&gt;=TODAY())</formula>
    </cfRule>
    <cfRule type="expression" priority="86" dxfId="334" stopIfTrue="1">
      <formula>H16&lt;TODAY()</formula>
    </cfRule>
  </conditionalFormatting>
  <dataValidations count="2">
    <dataValidation allowBlank="1" showInputMessage="1" showErrorMessage="1" promptTitle="Date" prompt="e.g. 2009/7/20" sqref="J70:K70"/>
    <dataValidation allowBlank="1" showInputMessage="1" showErrorMessage="1" promptTitle="Enter schedule" prompt="e.g. Trip to Okinawa" sqref="L70:N70"/>
  </dataValidations>
  <hyperlinks>
    <hyperlink ref="T81:AA81" r:id="rId1" display="Index Page for links to Federal Holidays Calendars "/>
    <hyperlink ref="T82:AA82" r:id="rId2" display="timeanddate.com/calendar"/>
    <hyperlink ref="B2" r:id="rId3" display="Shop online at amazon.co.jp"/>
    <hyperlink ref="Q80" r:id="rId4" display="Ken's Home Radio"/>
    <hyperlink ref="B2:G2" r:id="rId5" display="Calendar Japan"/>
  </hyperlinks>
  <printOptions/>
  <pageMargins left="0.27" right="0.54" top="0.12" bottom="0.11" header="0.39" footer="0.18"/>
  <pageSetup horizontalDpi="600" verticalDpi="600" orientation="landscape" scale="90" r:id="rId10"/>
  <headerFooter alignWithMargins="0">
    <oddFooter>&amp;LKen Matsuoka&amp;C&amp;F&amp;R&amp;D</oddFooter>
  </headerFooter>
  <drawing r:id="rId9"/>
  <legacyDrawing r:id="rId8"/>
  <oleObjects>
    <oleObject progId="MS_ClipArt_Gallery" shapeId="884085" r:id="rId7"/>
  </oleObjects>
</worksheet>
</file>

<file path=xl/worksheets/sheet4.xml><?xml version="1.0" encoding="utf-8"?>
<worksheet xmlns="http://schemas.openxmlformats.org/spreadsheetml/2006/main" xmlns:r="http://schemas.openxmlformats.org/officeDocument/2006/relationships">
  <dimension ref="B1:M22"/>
  <sheetViews>
    <sheetView zoomScalePageLayoutView="0" workbookViewId="0" topLeftCell="A1">
      <selection activeCell="G22" sqref="G22:J22"/>
    </sheetView>
  </sheetViews>
  <sheetFormatPr defaultColWidth="9.00390625" defaultRowHeight="13.5"/>
  <cols>
    <col min="7" max="7" width="10.50390625" style="0" bestFit="1" customWidth="1"/>
  </cols>
  <sheetData>
    <row r="1" spans="2:8" ht="14.25" thickBot="1">
      <c r="B1" s="98" t="s">
        <v>92</v>
      </c>
      <c r="H1" t="s">
        <v>93</v>
      </c>
    </row>
    <row r="2" spans="2:13" ht="24.75" customHeight="1">
      <c r="B2" s="237">
        <f>HolidayPlanner!J70</f>
        <v>45343</v>
      </c>
      <c r="C2" s="238"/>
      <c r="D2" s="99" t="str">
        <f>HolidayPlanner!L70</f>
        <v>Holiday Schedule modified</v>
      </c>
      <c r="E2" s="92"/>
      <c r="F2" s="93"/>
      <c r="H2" s="232">
        <f>HolidayPlanner!B70</f>
        <v>45292</v>
      </c>
      <c r="I2" s="232"/>
      <c r="J2" s="209" t="str">
        <f>HolidayPlanner!D70</f>
        <v>Shogatsu 
(New Year's Day)</v>
      </c>
      <c r="K2" s="209"/>
      <c r="L2" s="209"/>
      <c r="M2" s="97">
        <f>HolidayPlanner!G70</f>
        <v>2</v>
      </c>
    </row>
    <row r="3" spans="2:13" ht="24.75" customHeight="1">
      <c r="B3" s="233">
        <f>HolidayPlanner!J71</f>
        <v>45378</v>
      </c>
      <c r="C3" s="234"/>
      <c r="D3" s="235" t="str">
        <f>HolidayPlanner!L71</f>
        <v>Vacation</v>
      </c>
      <c r="E3" s="235"/>
      <c r="F3" s="236"/>
      <c r="H3" s="229">
        <f>HolidayPlanner!B71</f>
        <v>45670</v>
      </c>
      <c r="I3" s="229"/>
      <c r="J3" s="209" t="str">
        <f>HolidayPlanner!D71</f>
        <v>Seijin no hi 
(Coming of Age Day)</v>
      </c>
      <c r="K3" s="209"/>
      <c r="L3" s="209"/>
      <c r="M3" s="97">
        <f>HolidayPlanner!G71</f>
        <v>2</v>
      </c>
    </row>
    <row r="4" spans="2:13" ht="24.75" customHeight="1">
      <c r="B4" s="233">
        <f>HolidayPlanner!J72</f>
        <v>45292</v>
      </c>
      <c r="C4" s="234"/>
      <c r="D4" s="235" t="str">
        <f>HolidayPlanner!L72</f>
        <v>Shogatsu 
(New Year's Day)</v>
      </c>
      <c r="E4" s="235"/>
      <c r="F4" s="236"/>
      <c r="H4" s="229">
        <f>HolidayPlanner!B72</f>
        <v>45334</v>
      </c>
      <c r="I4" s="229"/>
      <c r="J4" s="209" t="str">
        <f>HolidayPlanner!D72</f>
        <v>Kenkoku Kinenbi 
(National Foundation Day)</v>
      </c>
      <c r="K4" s="209"/>
      <c r="L4" s="209"/>
      <c r="M4" s="97">
        <f>HolidayPlanner!G72</f>
        <v>2</v>
      </c>
    </row>
    <row r="5" spans="2:13" ht="24.75" customHeight="1">
      <c r="B5" s="233">
        <f>HolidayPlanner!J73</f>
        <v>45670</v>
      </c>
      <c r="C5" s="234"/>
      <c r="D5" s="235" t="str">
        <f>HolidayPlanner!L73</f>
        <v>Seijin no hi 
(Coming of Age Day)</v>
      </c>
      <c r="E5" s="235"/>
      <c r="F5" s="236"/>
      <c r="H5" s="229">
        <f>HolidayPlanner!B73</f>
        <v>45371</v>
      </c>
      <c r="I5" s="230"/>
      <c r="J5" s="209" t="str">
        <f>HolidayPlanner!D73</f>
        <v>Shunbun no hi 
(Spring Equinox)</v>
      </c>
      <c r="K5" s="209"/>
      <c r="L5" s="209"/>
      <c r="M5" s="97">
        <f>HolidayPlanner!G73</f>
        <v>4</v>
      </c>
    </row>
    <row r="6" spans="2:13" ht="24.75" customHeight="1">
      <c r="B6" s="233">
        <f>HolidayPlanner!J74</f>
        <v>45334</v>
      </c>
      <c r="C6" s="234"/>
      <c r="D6" s="235" t="str">
        <f>HolidayPlanner!L74</f>
        <v>Kenkoku Kinenbi 
(National Foundation Day)</v>
      </c>
      <c r="E6" s="235"/>
      <c r="F6" s="236"/>
      <c r="H6" s="229">
        <f>HolidayPlanner!B74</f>
        <v>45411</v>
      </c>
      <c r="I6" s="230"/>
      <c r="J6" s="209" t="str">
        <f>HolidayPlanner!D74</f>
        <v>Showa no hi</v>
      </c>
      <c r="K6" s="209"/>
      <c r="L6" s="209"/>
      <c r="M6" s="97">
        <f>HolidayPlanner!G74</f>
        <v>2</v>
      </c>
    </row>
    <row r="7" spans="2:13" ht="24.75" customHeight="1">
      <c r="B7" s="233">
        <f>HolidayPlanner!J75</f>
        <v>45371</v>
      </c>
      <c r="C7" s="234"/>
      <c r="D7" s="235" t="str">
        <f>HolidayPlanner!L75</f>
        <v>Shunbun no hi 
(Spring Equinox)</v>
      </c>
      <c r="E7" s="235"/>
      <c r="F7" s="236"/>
      <c r="H7" s="229">
        <f>HolidayPlanner!B75</f>
        <v>45415</v>
      </c>
      <c r="I7" s="229"/>
      <c r="J7" s="209" t="str">
        <f>HolidayPlanner!D75</f>
        <v>Kenpou kinenbi
(Constitution Memorial Day)</v>
      </c>
      <c r="K7" s="209"/>
      <c r="L7" s="209"/>
      <c r="M7" s="97">
        <f>HolidayPlanner!G75</f>
        <v>6</v>
      </c>
    </row>
    <row r="8" spans="2:13" ht="24.75" customHeight="1">
      <c r="B8" s="233">
        <f>HolidayPlanner!J76</f>
        <v>45411</v>
      </c>
      <c r="C8" s="234"/>
      <c r="D8" s="235" t="str">
        <f>HolidayPlanner!L76</f>
        <v>Showa no hi</v>
      </c>
      <c r="E8" s="235"/>
      <c r="F8" s="236"/>
      <c r="H8" s="229">
        <f>HolidayPlanner!B76</f>
        <v>45416</v>
      </c>
      <c r="I8" s="230"/>
      <c r="J8" s="209" t="str">
        <f>HolidayPlanner!D76</f>
        <v>Midori no hi
(Nature's Day - declared official holiday unless May 4 fallls on Sunday)</v>
      </c>
      <c r="K8" s="209"/>
      <c r="L8" s="209"/>
      <c r="M8" s="97">
        <f>HolidayPlanner!G76</f>
        <v>7</v>
      </c>
    </row>
    <row r="9" spans="2:13" ht="24.75" customHeight="1">
      <c r="B9" s="233">
        <f>HolidayPlanner!J77</f>
        <v>45415</v>
      </c>
      <c r="C9" s="234"/>
      <c r="D9" s="235" t="str">
        <f>HolidayPlanner!L77</f>
        <v>Kenpou kinenbi
(Constitution Memorial Day)</v>
      </c>
      <c r="E9" s="235"/>
      <c r="F9" s="236"/>
      <c r="H9" s="229">
        <f>HolidayPlanner!B77</f>
        <v>45418</v>
      </c>
      <c r="I9" s="229"/>
      <c r="J9" s="209" t="str">
        <f>HolidayPlanner!D77</f>
        <v>Kodomo no hi
(Children's Day)</v>
      </c>
      <c r="K9" s="209"/>
      <c r="L9" s="209"/>
      <c r="M9" s="97">
        <f>HolidayPlanner!G77</f>
        <v>2</v>
      </c>
    </row>
    <row r="10" spans="2:13" ht="24.75" customHeight="1">
      <c r="B10" s="233">
        <f>HolidayPlanner!J78</f>
        <v>45416</v>
      </c>
      <c r="C10" s="234"/>
      <c r="D10" s="235" t="str">
        <f>HolidayPlanner!L78</f>
        <v>Midori no hi
(Nature's Day - declared official holiday unless May 4 fallls on Sunday)</v>
      </c>
      <c r="E10" s="235"/>
      <c r="F10" s="236"/>
      <c r="H10" s="229">
        <f>HolidayPlanner!B78</f>
        <v>45488</v>
      </c>
      <c r="I10" s="230"/>
      <c r="J10" s="209" t="str">
        <f>HolidayPlanner!D78</f>
        <v>Umi no hi
(Sea Day)</v>
      </c>
      <c r="K10" s="209"/>
      <c r="L10" s="209"/>
      <c r="M10" s="97">
        <f>HolidayPlanner!G78</f>
        <v>2</v>
      </c>
    </row>
    <row r="11" spans="2:13" ht="24.75" customHeight="1">
      <c r="B11" s="233">
        <f>HolidayPlanner!J79</f>
        <v>45418</v>
      </c>
      <c r="C11" s="234"/>
      <c r="D11" s="235" t="str">
        <f>HolidayPlanner!L79</f>
        <v>Kodomo no hi
(Children's Day)</v>
      </c>
      <c r="E11" s="235"/>
      <c r="F11" s="236"/>
      <c r="H11" s="229">
        <f>HolidayPlanner!B79</f>
        <v>45551</v>
      </c>
      <c r="I11" s="230"/>
      <c r="J11" s="209" t="str">
        <f>HolidayPlanner!D79</f>
        <v>Keirou no hi
(Respect for the Aged Day)</v>
      </c>
      <c r="K11" s="209"/>
      <c r="L11" s="209"/>
      <c r="M11" s="97">
        <f>HolidayPlanner!G79</f>
        <v>2</v>
      </c>
    </row>
    <row r="12" spans="2:13" ht="24.75" customHeight="1">
      <c r="B12" s="233">
        <f>HolidayPlanner!J80</f>
        <v>45488</v>
      </c>
      <c r="C12" s="234"/>
      <c r="D12" s="235" t="str">
        <f>HolidayPlanner!L80</f>
        <v>Umi no hi
(Sea Day)</v>
      </c>
      <c r="E12" s="235"/>
      <c r="F12" s="236"/>
      <c r="H12" s="229">
        <f>HolidayPlanner!B80</f>
      </c>
      <c r="I12" s="230"/>
      <c r="J12" s="209" t="str">
        <f>HolidayPlanner!D80</f>
        <v>Kokumin no kyujitsu
(Citizen's Holiday)</v>
      </c>
      <c r="K12" s="209"/>
      <c r="L12" s="209"/>
      <c r="M12" s="97">
        <f>HolidayPlanner!G80</f>
      </c>
    </row>
    <row r="13" spans="2:13" ht="24.75" customHeight="1">
      <c r="B13" s="233">
        <f>HolidayPlanner!J81</f>
        <v>45551</v>
      </c>
      <c r="C13" s="234"/>
      <c r="D13" s="235" t="str">
        <f>HolidayPlanner!L81</f>
        <v>Keirou no hi
(Respect for the Aged Day)</v>
      </c>
      <c r="E13" s="235"/>
      <c r="F13" s="236"/>
      <c r="H13" s="229">
        <f>HolidayPlanner!B81</f>
        <v>45558</v>
      </c>
      <c r="I13" s="230"/>
      <c r="J13" s="209" t="str">
        <f>HolidayPlanner!D81</f>
        <v>Shuubun no hi (Autumn Equinox) </v>
      </c>
      <c r="K13" s="209"/>
      <c r="L13" s="209"/>
      <c r="M13" s="97">
        <f>HolidayPlanner!G81</f>
        <v>2</v>
      </c>
    </row>
    <row r="14" spans="2:13" ht="24.75" customHeight="1">
      <c r="B14" s="233">
        <f>HolidayPlanner!J82</f>
      </c>
      <c r="C14" s="234"/>
      <c r="D14" s="235" t="str">
        <f>HolidayPlanner!L82</f>
        <v>Kokumin no kyujitsu
(Citizen's Holiday)</v>
      </c>
      <c r="E14" s="235"/>
      <c r="F14" s="236"/>
      <c r="H14" s="227">
        <f>HolidayPlanner!B82</f>
        <v>45579</v>
      </c>
      <c r="I14" s="228"/>
      <c r="J14" s="209" t="str">
        <f>HolidayPlanner!D82</f>
        <v>Taiiku no hi 
(Sports Day)</v>
      </c>
      <c r="K14" s="209"/>
      <c r="L14" s="209"/>
      <c r="M14" s="97">
        <f>HolidayPlanner!G82</f>
        <v>2</v>
      </c>
    </row>
    <row r="15" spans="2:13" ht="24.75" customHeight="1">
      <c r="B15" s="233">
        <f>HolidayPlanner!J83</f>
        <v>45558</v>
      </c>
      <c r="C15" s="234"/>
      <c r="D15" s="235" t="str">
        <f>HolidayPlanner!L83</f>
        <v>Shuubun no hi (Autumn Equinox) </v>
      </c>
      <c r="E15" s="235"/>
      <c r="F15" s="236"/>
      <c r="H15" s="227">
        <f>HolidayPlanner!B83</f>
        <v>45600</v>
      </c>
      <c r="I15" s="228"/>
      <c r="J15" s="209" t="str">
        <f>HolidayPlanner!D83</f>
        <v>Bunka no hi 
(Culture Day)</v>
      </c>
      <c r="K15" s="209"/>
      <c r="L15" s="209"/>
      <c r="M15" s="97">
        <f>HolidayPlanner!G83</f>
        <v>2</v>
      </c>
    </row>
    <row r="16" spans="2:13" ht="24.75" customHeight="1">
      <c r="B16" s="233">
        <f>HolidayPlanner!J84</f>
        <v>45579</v>
      </c>
      <c r="C16" s="234"/>
      <c r="D16" s="239" t="str">
        <f>HolidayPlanner!L84</f>
        <v>Taiiku no hi 
(Sports Day)</v>
      </c>
      <c r="E16" s="239"/>
      <c r="F16" s="240"/>
      <c r="H16" s="227">
        <f>HolidayPlanner!B84</f>
        <v>45619</v>
      </c>
      <c r="I16" s="228"/>
      <c r="J16" s="209" t="str">
        <f>HolidayPlanner!D84</f>
        <v>Kinrou kansha no hi
(Labor Thanksgiving Day)</v>
      </c>
      <c r="K16" s="209"/>
      <c r="L16" s="209"/>
      <c r="M16" s="97">
        <f>HolidayPlanner!G84</f>
        <v>7</v>
      </c>
    </row>
    <row r="17" spans="2:13" ht="24.75" customHeight="1">
      <c r="B17" s="233">
        <f>HolidayPlanner!J85</f>
        <v>45600</v>
      </c>
      <c r="C17" s="234"/>
      <c r="D17" s="239" t="str">
        <f>HolidayPlanner!L85</f>
        <v>Bunka no hi 
(Culture Day)</v>
      </c>
      <c r="E17" s="239"/>
      <c r="F17" s="240"/>
      <c r="H17" s="227">
        <f>HolidayPlanner!B85</f>
        <v>45649</v>
      </c>
      <c r="I17" s="228"/>
      <c r="J17" s="209" t="str">
        <f>HolidayPlanner!D85</f>
        <v>Tennou tanjoubi (Emperor's Birthday) - Dec 23 observed
(offices closed)</v>
      </c>
      <c r="K17" s="209"/>
      <c r="L17" s="209"/>
      <c r="M17" s="97">
        <f>HolidayPlanner!G85</f>
        <v>2</v>
      </c>
    </row>
    <row r="18" spans="2:6" ht="24.75" customHeight="1">
      <c r="B18" s="233">
        <f>HolidayPlanner!J86</f>
        <v>45619</v>
      </c>
      <c r="C18" s="234"/>
      <c r="D18" s="239" t="str">
        <f>HolidayPlanner!L86</f>
        <v>Kinrou kansha no hi
(Labor Thanksgiving Day)</v>
      </c>
      <c r="E18" s="239"/>
      <c r="F18" s="240"/>
    </row>
    <row r="19" spans="2:6" ht="24.75" customHeight="1" thickBot="1">
      <c r="B19" s="241">
        <f>HolidayPlanner!J87</f>
        <v>45649</v>
      </c>
      <c r="C19" s="242"/>
      <c r="D19" s="243" t="str">
        <f>HolidayPlanner!L87</f>
        <v>Tennou tanjoubi (Emperor's Birthday) - Dec 23 observed
(offices closed)</v>
      </c>
      <c r="E19" s="243"/>
      <c r="F19" s="244"/>
    </row>
    <row r="21" ht="13.5">
      <c r="G21" s="100">
        <v>42641</v>
      </c>
    </row>
    <row r="22" spans="7:10" ht="13.5">
      <c r="G22" s="253" t="s">
        <v>21</v>
      </c>
      <c r="H22" s="253"/>
      <c r="I22" s="253"/>
      <c r="J22" s="253"/>
    </row>
  </sheetData>
  <sheetProtection/>
  <mergeCells count="68">
    <mergeCell ref="H16:I16"/>
    <mergeCell ref="J16:L16"/>
    <mergeCell ref="H17:I17"/>
    <mergeCell ref="J17:L17"/>
    <mergeCell ref="H14:I14"/>
    <mergeCell ref="J14:L14"/>
    <mergeCell ref="H15:I15"/>
    <mergeCell ref="J15:L15"/>
    <mergeCell ref="H12:I12"/>
    <mergeCell ref="J12:L12"/>
    <mergeCell ref="H13:I13"/>
    <mergeCell ref="J13:L13"/>
    <mergeCell ref="H10:I10"/>
    <mergeCell ref="J10:L10"/>
    <mergeCell ref="H11:I11"/>
    <mergeCell ref="J11:L11"/>
    <mergeCell ref="H8:I8"/>
    <mergeCell ref="J8:L8"/>
    <mergeCell ref="H9:I9"/>
    <mergeCell ref="J9:L9"/>
    <mergeCell ref="H6:I6"/>
    <mergeCell ref="J6:L6"/>
    <mergeCell ref="H7:I7"/>
    <mergeCell ref="J7:L7"/>
    <mergeCell ref="B19:C19"/>
    <mergeCell ref="D19:F19"/>
    <mergeCell ref="H2:I2"/>
    <mergeCell ref="J2:L2"/>
    <mergeCell ref="H3:I3"/>
    <mergeCell ref="J3:L3"/>
    <mergeCell ref="H4:I4"/>
    <mergeCell ref="J4:L4"/>
    <mergeCell ref="H5:I5"/>
    <mergeCell ref="J5:L5"/>
    <mergeCell ref="B17:C17"/>
    <mergeCell ref="D17:F17"/>
    <mergeCell ref="B18:C18"/>
    <mergeCell ref="D18:F18"/>
    <mergeCell ref="B15:C15"/>
    <mergeCell ref="D15:F15"/>
    <mergeCell ref="B16:C16"/>
    <mergeCell ref="D16:F16"/>
    <mergeCell ref="B13:C13"/>
    <mergeCell ref="D13:F13"/>
    <mergeCell ref="B14:C14"/>
    <mergeCell ref="D14:F14"/>
    <mergeCell ref="B11:C11"/>
    <mergeCell ref="D11:F11"/>
    <mergeCell ref="B12:C12"/>
    <mergeCell ref="D12:F12"/>
    <mergeCell ref="B9:C9"/>
    <mergeCell ref="D9:F9"/>
    <mergeCell ref="B10:C10"/>
    <mergeCell ref="D10:F10"/>
    <mergeCell ref="B7:C7"/>
    <mergeCell ref="D7:F7"/>
    <mergeCell ref="B8:C8"/>
    <mergeCell ref="D8:F8"/>
    <mergeCell ref="G22:J22"/>
    <mergeCell ref="B5:C5"/>
    <mergeCell ref="D5:F5"/>
    <mergeCell ref="B6:C6"/>
    <mergeCell ref="D6:F6"/>
    <mergeCell ref="B2:C2"/>
    <mergeCell ref="B3:C3"/>
    <mergeCell ref="D3:F3"/>
    <mergeCell ref="B4:C4"/>
    <mergeCell ref="D4:F4"/>
  </mergeCells>
  <conditionalFormatting sqref="H2:H17 I14:I17 I2:I4 I7 I9 F2">
    <cfRule type="expression" priority="1" dxfId="326" stopIfTrue="1">
      <formula>($B2&lt;TODAY())</formula>
    </cfRule>
  </conditionalFormatting>
  <conditionalFormatting sqref="B2:C19">
    <cfRule type="expression" priority="2" dxfId="326" stopIfTrue="1">
      <formula>(B2&lt;TODAY())</formula>
    </cfRule>
  </conditionalFormatting>
  <conditionalFormatting sqref="M2:M17">
    <cfRule type="expression" priority="3" dxfId="326" stopIfTrue="1">
      <formula>H2&lt;TODAY()</formula>
    </cfRule>
  </conditionalFormatting>
  <hyperlinks>
    <hyperlink ref="B2:C2" location="HolidayPlanner!J70" display="HolidayPlanner!J70"/>
    <hyperlink ref="B1" location="Planner" display="Planner"/>
    <hyperlink ref="D2" location="HolidayPlanner!L70" display="HolidayPlanner!L70"/>
    <hyperlink ref="G22" r:id="rId1" display="Ken's Home Radio"/>
    <hyperlink ref="G22:J22" r:id="rId2" display="Ken's Home Radio"/>
  </hyperlinks>
  <printOptions/>
  <pageMargins left="0.75" right="0.75" top="1" bottom="1" header="0.512" footer="0.512"/>
  <pageSetup horizontalDpi="600" verticalDpi="600" orientation="portrait" paperSize="9" r:id="rId5"/>
  <legacyDrawing r:id="rId4"/>
</worksheet>
</file>

<file path=xl/worksheets/sheet5.xml><?xml version="1.0" encoding="utf-8"?>
<worksheet xmlns="http://schemas.openxmlformats.org/spreadsheetml/2006/main" xmlns:r="http://schemas.openxmlformats.org/officeDocument/2006/relationships">
  <dimension ref="A1:FF108"/>
  <sheetViews>
    <sheetView zoomScale="87" zoomScaleNormal="87"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B11" sqref="B11"/>
    </sheetView>
  </sheetViews>
  <sheetFormatPr defaultColWidth="9.00390625" defaultRowHeight="13.5"/>
  <cols>
    <col min="1" max="1" width="2.00390625" style="101" customWidth="1"/>
    <col min="2" max="2" width="22.875" style="101" customWidth="1"/>
    <col min="3" max="3" width="7.00390625" style="101" customWidth="1"/>
    <col min="4" max="6" width="14.375" style="101" customWidth="1"/>
    <col min="7" max="10" width="9.875" style="101" customWidth="1"/>
    <col min="11" max="11" width="11.25390625" style="101" customWidth="1"/>
    <col min="12" max="43" width="5.625" style="101" customWidth="1"/>
    <col min="44" max="51" width="14.375" style="101" customWidth="1"/>
    <col min="52" max="52" width="20.50390625" style="101" customWidth="1"/>
    <col min="53" max="53" width="14.375" style="101" customWidth="1"/>
    <col min="54" max="54" width="12.625" style="101" customWidth="1"/>
    <col min="55" max="56" width="12.75390625" style="101" customWidth="1"/>
    <col min="57" max="58" width="9.875" style="101" customWidth="1"/>
    <col min="59" max="59" width="11.625" style="101" customWidth="1"/>
    <col min="60" max="63" width="2.625" style="101" customWidth="1"/>
    <col min="64" max="104" width="9.00390625" style="101" customWidth="1"/>
    <col min="105" max="105" width="10.875" style="101" customWidth="1"/>
    <col min="106" max="16384" width="9.00390625" style="101" customWidth="1"/>
  </cols>
  <sheetData>
    <row r="1" spans="2:161" ht="14.25">
      <c r="B1" s="102"/>
      <c r="C1" s="103">
        <f>IF(AND(B3&gt;=2,B3&lt;=5),1,IF(B3=1,52,53))</f>
        <v>1</v>
      </c>
      <c r="D1" s="103">
        <f>IF(C1&gt;=52,1,IF(WEEKDAY(D2)=F7,1,IF(AND(NOT(WEEKDAY(D2)=G7),C2-B2&lt;7),2,C1+1)))</f>
        <v>2</v>
      </c>
      <c r="E1" s="103">
        <f aca="true" t="shared" si="0" ref="E1:BC1">D1+1</f>
        <v>3</v>
      </c>
      <c r="F1" s="103">
        <f t="shared" si="0"/>
        <v>4</v>
      </c>
      <c r="G1" s="103">
        <f t="shared" si="0"/>
        <v>5</v>
      </c>
      <c r="H1" s="103">
        <f t="shared" si="0"/>
        <v>6</v>
      </c>
      <c r="I1" s="103">
        <f t="shared" si="0"/>
        <v>7</v>
      </c>
      <c r="J1" s="103">
        <f t="shared" si="0"/>
        <v>8</v>
      </c>
      <c r="K1" s="103">
        <f t="shared" si="0"/>
        <v>9</v>
      </c>
      <c r="L1" s="103">
        <f t="shared" si="0"/>
        <v>10</v>
      </c>
      <c r="M1" s="103">
        <f t="shared" si="0"/>
        <v>11</v>
      </c>
      <c r="N1" s="103">
        <f t="shared" si="0"/>
        <v>12</v>
      </c>
      <c r="O1" s="103">
        <f t="shared" si="0"/>
        <v>13</v>
      </c>
      <c r="P1" s="103">
        <f t="shared" si="0"/>
        <v>14</v>
      </c>
      <c r="Q1" s="103">
        <f t="shared" si="0"/>
        <v>15</v>
      </c>
      <c r="R1" s="103">
        <f t="shared" si="0"/>
        <v>16</v>
      </c>
      <c r="S1" s="103">
        <f t="shared" si="0"/>
        <v>17</v>
      </c>
      <c r="T1" s="103">
        <f t="shared" si="0"/>
        <v>18</v>
      </c>
      <c r="U1" s="103">
        <f t="shared" si="0"/>
        <v>19</v>
      </c>
      <c r="V1" s="103">
        <f t="shared" si="0"/>
        <v>20</v>
      </c>
      <c r="W1" s="103">
        <f t="shared" si="0"/>
        <v>21</v>
      </c>
      <c r="X1" s="103">
        <f t="shared" si="0"/>
        <v>22</v>
      </c>
      <c r="Y1" s="103">
        <f t="shared" si="0"/>
        <v>23</v>
      </c>
      <c r="Z1" s="103">
        <f t="shared" si="0"/>
        <v>24</v>
      </c>
      <c r="AA1" s="103">
        <f t="shared" si="0"/>
        <v>25</v>
      </c>
      <c r="AB1" s="103">
        <f t="shared" si="0"/>
        <v>26</v>
      </c>
      <c r="AC1" s="103">
        <f t="shared" si="0"/>
        <v>27</v>
      </c>
      <c r="AD1" s="103">
        <f t="shared" si="0"/>
        <v>28</v>
      </c>
      <c r="AE1" s="103">
        <f t="shared" si="0"/>
        <v>29</v>
      </c>
      <c r="AF1" s="103">
        <f t="shared" si="0"/>
        <v>30</v>
      </c>
      <c r="AG1" s="103">
        <f t="shared" si="0"/>
        <v>31</v>
      </c>
      <c r="AH1" s="103">
        <f t="shared" si="0"/>
        <v>32</v>
      </c>
      <c r="AI1" s="103">
        <f t="shared" si="0"/>
        <v>33</v>
      </c>
      <c r="AJ1" s="103">
        <f t="shared" si="0"/>
        <v>34</v>
      </c>
      <c r="AK1" s="103">
        <f t="shared" si="0"/>
        <v>35</v>
      </c>
      <c r="AL1" s="103">
        <f t="shared" si="0"/>
        <v>36</v>
      </c>
      <c r="AM1" s="103">
        <f t="shared" si="0"/>
        <v>37</v>
      </c>
      <c r="AN1" s="103">
        <f t="shared" si="0"/>
        <v>38</v>
      </c>
      <c r="AO1" s="103">
        <f t="shared" si="0"/>
        <v>39</v>
      </c>
      <c r="AP1" s="103">
        <f t="shared" si="0"/>
        <v>40</v>
      </c>
      <c r="AQ1" s="103">
        <f t="shared" si="0"/>
        <v>41</v>
      </c>
      <c r="AR1" s="103">
        <f t="shared" si="0"/>
        <v>42</v>
      </c>
      <c r="AS1" s="103">
        <f t="shared" si="0"/>
        <v>43</v>
      </c>
      <c r="AT1" s="103">
        <f t="shared" si="0"/>
        <v>44</v>
      </c>
      <c r="AU1" s="103">
        <f t="shared" si="0"/>
        <v>45</v>
      </c>
      <c r="AV1" s="103">
        <f t="shared" si="0"/>
        <v>46</v>
      </c>
      <c r="AW1" s="103">
        <f t="shared" si="0"/>
        <v>47</v>
      </c>
      <c r="AX1" s="103">
        <f t="shared" si="0"/>
        <v>48</v>
      </c>
      <c r="AY1" s="103">
        <f t="shared" si="0"/>
        <v>49</v>
      </c>
      <c r="AZ1" s="103">
        <f t="shared" si="0"/>
        <v>50</v>
      </c>
      <c r="BA1" s="103">
        <f t="shared" si="0"/>
        <v>51</v>
      </c>
      <c r="BB1" s="103">
        <f t="shared" si="0"/>
        <v>52</v>
      </c>
      <c r="BC1" s="103">
        <f t="shared" si="0"/>
        <v>53</v>
      </c>
      <c r="BD1" s="104">
        <f>IF(BD2-BC2&lt;7,BC1,IF(AND(BC4&gt;=2,BC4&lt;=5),1,IF(BC4=1,52,53)))</f>
        <v>53</v>
      </c>
      <c r="BE1" s="103">
        <f>IF(WEEKDAY(BE2)=2,1,BD1+1)</f>
        <v>1</v>
      </c>
      <c r="BF1" s="103">
        <f>IF(BE1=53,1,BE1+1)</f>
        <v>2</v>
      </c>
      <c r="BG1" s="103">
        <f aca="true" t="shared" si="1" ref="BG1:DC1">BF1+1</f>
        <v>3</v>
      </c>
      <c r="BH1" s="103">
        <f t="shared" si="1"/>
        <v>4</v>
      </c>
      <c r="BI1" s="103">
        <f t="shared" si="1"/>
        <v>5</v>
      </c>
      <c r="BJ1" s="103">
        <f t="shared" si="1"/>
        <v>6</v>
      </c>
      <c r="BK1" s="103">
        <f t="shared" si="1"/>
        <v>7</v>
      </c>
      <c r="BL1" s="103">
        <f t="shared" si="1"/>
        <v>8</v>
      </c>
      <c r="BM1" s="103">
        <f t="shared" si="1"/>
        <v>9</v>
      </c>
      <c r="BN1" s="103">
        <f t="shared" si="1"/>
        <v>10</v>
      </c>
      <c r="BO1" s="103">
        <f t="shared" si="1"/>
        <v>11</v>
      </c>
      <c r="BP1" s="103">
        <f t="shared" si="1"/>
        <v>12</v>
      </c>
      <c r="BQ1" s="103">
        <f t="shared" si="1"/>
        <v>13</v>
      </c>
      <c r="BR1" s="103">
        <f t="shared" si="1"/>
        <v>14</v>
      </c>
      <c r="BS1" s="103">
        <f t="shared" si="1"/>
        <v>15</v>
      </c>
      <c r="BT1" s="103">
        <f t="shared" si="1"/>
        <v>16</v>
      </c>
      <c r="BU1" s="103">
        <f t="shared" si="1"/>
        <v>17</v>
      </c>
      <c r="BV1" s="103">
        <f t="shared" si="1"/>
        <v>18</v>
      </c>
      <c r="BW1" s="103">
        <f t="shared" si="1"/>
        <v>19</v>
      </c>
      <c r="BX1" s="103">
        <f t="shared" si="1"/>
        <v>20</v>
      </c>
      <c r="BY1" s="103">
        <f t="shared" si="1"/>
        <v>21</v>
      </c>
      <c r="BZ1" s="103">
        <f t="shared" si="1"/>
        <v>22</v>
      </c>
      <c r="CA1" s="103">
        <f t="shared" si="1"/>
        <v>23</v>
      </c>
      <c r="CB1" s="103">
        <f t="shared" si="1"/>
        <v>24</v>
      </c>
      <c r="CC1" s="103">
        <f t="shared" si="1"/>
        <v>25</v>
      </c>
      <c r="CD1" s="103">
        <f t="shared" si="1"/>
        <v>26</v>
      </c>
      <c r="CE1" s="103">
        <f t="shared" si="1"/>
        <v>27</v>
      </c>
      <c r="CF1" s="103">
        <f t="shared" si="1"/>
        <v>28</v>
      </c>
      <c r="CG1" s="103">
        <f t="shared" si="1"/>
        <v>29</v>
      </c>
      <c r="CH1" s="103">
        <f t="shared" si="1"/>
        <v>30</v>
      </c>
      <c r="CI1" s="103">
        <f t="shared" si="1"/>
        <v>31</v>
      </c>
      <c r="CJ1" s="103">
        <f t="shared" si="1"/>
        <v>32</v>
      </c>
      <c r="CK1" s="103">
        <f t="shared" si="1"/>
        <v>33</v>
      </c>
      <c r="CL1" s="103">
        <f t="shared" si="1"/>
        <v>34</v>
      </c>
      <c r="CM1" s="103">
        <f t="shared" si="1"/>
        <v>35</v>
      </c>
      <c r="CN1" s="103">
        <f t="shared" si="1"/>
        <v>36</v>
      </c>
      <c r="CO1" s="103">
        <f t="shared" si="1"/>
        <v>37</v>
      </c>
      <c r="CP1" s="103">
        <f t="shared" si="1"/>
        <v>38</v>
      </c>
      <c r="CQ1" s="103">
        <f t="shared" si="1"/>
        <v>39</v>
      </c>
      <c r="CR1" s="103">
        <f t="shared" si="1"/>
        <v>40</v>
      </c>
      <c r="CS1" s="103">
        <f t="shared" si="1"/>
        <v>41</v>
      </c>
      <c r="CT1" s="103">
        <f t="shared" si="1"/>
        <v>42</v>
      </c>
      <c r="CU1" s="103">
        <f t="shared" si="1"/>
        <v>43</v>
      </c>
      <c r="CV1" s="103">
        <f t="shared" si="1"/>
        <v>44</v>
      </c>
      <c r="CW1" s="103">
        <f t="shared" si="1"/>
        <v>45</v>
      </c>
      <c r="CX1" s="103">
        <f t="shared" si="1"/>
        <v>46</v>
      </c>
      <c r="CY1" s="103">
        <f t="shared" si="1"/>
        <v>47</v>
      </c>
      <c r="CZ1" s="103">
        <f t="shared" si="1"/>
        <v>48</v>
      </c>
      <c r="DA1" s="103">
        <f t="shared" si="1"/>
        <v>49</v>
      </c>
      <c r="DB1" s="103">
        <f t="shared" si="1"/>
        <v>50</v>
      </c>
      <c r="DC1" s="103">
        <f t="shared" si="1"/>
        <v>51</v>
      </c>
      <c r="DD1" s="103">
        <f>DC1+1</f>
        <v>52</v>
      </c>
      <c r="DE1" s="104">
        <f>IF(DE2-DD2&lt;7,DD1,IF(AND(DD4&gt;=2,DD4&lt;=5),1,IF(DD4=1,52,53)))</f>
        <v>52</v>
      </c>
      <c r="DF1" s="103">
        <f>IF(WEEKDAY(DF2)=2,1,DE1+1)</f>
        <v>1</v>
      </c>
      <c r="DG1" s="103">
        <f>IF(DF1=53,1,DF1+1)</f>
        <v>2</v>
      </c>
      <c r="DH1" s="103">
        <f aca="true" t="shared" si="2" ref="DH1:FD1">DG1+1</f>
        <v>3</v>
      </c>
      <c r="DI1" s="103">
        <f t="shared" si="2"/>
        <v>4</v>
      </c>
      <c r="DJ1" s="103">
        <f t="shared" si="2"/>
        <v>5</v>
      </c>
      <c r="DK1" s="103">
        <f t="shared" si="2"/>
        <v>6</v>
      </c>
      <c r="DL1" s="103">
        <f t="shared" si="2"/>
        <v>7</v>
      </c>
      <c r="DM1" s="103">
        <f t="shared" si="2"/>
        <v>8</v>
      </c>
      <c r="DN1" s="103">
        <f t="shared" si="2"/>
        <v>9</v>
      </c>
      <c r="DO1" s="103">
        <f t="shared" si="2"/>
        <v>10</v>
      </c>
      <c r="DP1" s="103">
        <f t="shared" si="2"/>
        <v>11</v>
      </c>
      <c r="DQ1" s="103">
        <f t="shared" si="2"/>
        <v>12</v>
      </c>
      <c r="DR1" s="103">
        <f t="shared" si="2"/>
        <v>13</v>
      </c>
      <c r="DS1" s="103">
        <f t="shared" si="2"/>
        <v>14</v>
      </c>
      <c r="DT1" s="103">
        <f t="shared" si="2"/>
        <v>15</v>
      </c>
      <c r="DU1" s="103">
        <f t="shared" si="2"/>
        <v>16</v>
      </c>
      <c r="DV1" s="103">
        <f t="shared" si="2"/>
        <v>17</v>
      </c>
      <c r="DW1" s="103">
        <f t="shared" si="2"/>
        <v>18</v>
      </c>
      <c r="DX1" s="103">
        <f t="shared" si="2"/>
        <v>19</v>
      </c>
      <c r="DY1" s="103">
        <f t="shared" si="2"/>
        <v>20</v>
      </c>
      <c r="DZ1" s="103">
        <f t="shared" si="2"/>
        <v>21</v>
      </c>
      <c r="EA1" s="103">
        <f t="shared" si="2"/>
        <v>22</v>
      </c>
      <c r="EB1" s="103">
        <f t="shared" si="2"/>
        <v>23</v>
      </c>
      <c r="EC1" s="103">
        <f t="shared" si="2"/>
        <v>24</v>
      </c>
      <c r="ED1" s="103">
        <f t="shared" si="2"/>
        <v>25</v>
      </c>
      <c r="EE1" s="103">
        <f t="shared" si="2"/>
        <v>26</v>
      </c>
      <c r="EF1" s="103">
        <f t="shared" si="2"/>
        <v>27</v>
      </c>
      <c r="EG1" s="103">
        <f t="shared" si="2"/>
        <v>28</v>
      </c>
      <c r="EH1" s="103">
        <f t="shared" si="2"/>
        <v>29</v>
      </c>
      <c r="EI1" s="103">
        <f t="shared" si="2"/>
        <v>30</v>
      </c>
      <c r="EJ1" s="103">
        <f t="shared" si="2"/>
        <v>31</v>
      </c>
      <c r="EK1" s="103">
        <f t="shared" si="2"/>
        <v>32</v>
      </c>
      <c r="EL1" s="103">
        <f t="shared" si="2"/>
        <v>33</v>
      </c>
      <c r="EM1" s="103">
        <f t="shared" si="2"/>
        <v>34</v>
      </c>
      <c r="EN1" s="103">
        <f t="shared" si="2"/>
        <v>35</v>
      </c>
      <c r="EO1" s="103">
        <f t="shared" si="2"/>
        <v>36</v>
      </c>
      <c r="EP1" s="103">
        <f t="shared" si="2"/>
        <v>37</v>
      </c>
      <c r="EQ1" s="103">
        <f t="shared" si="2"/>
        <v>38</v>
      </c>
      <c r="ER1" s="103">
        <f t="shared" si="2"/>
        <v>39</v>
      </c>
      <c r="ES1" s="103">
        <f t="shared" si="2"/>
        <v>40</v>
      </c>
      <c r="ET1" s="103">
        <f t="shared" si="2"/>
        <v>41</v>
      </c>
      <c r="EU1" s="103">
        <f t="shared" si="2"/>
        <v>42</v>
      </c>
      <c r="EV1" s="103">
        <f t="shared" si="2"/>
        <v>43</v>
      </c>
      <c r="EW1" s="103">
        <f t="shared" si="2"/>
        <v>44</v>
      </c>
      <c r="EX1" s="103">
        <f t="shared" si="2"/>
        <v>45</v>
      </c>
      <c r="EY1" s="103">
        <f t="shared" si="2"/>
        <v>46</v>
      </c>
      <c r="EZ1" s="103">
        <f t="shared" si="2"/>
        <v>47</v>
      </c>
      <c r="FA1" s="103">
        <f t="shared" si="2"/>
        <v>48</v>
      </c>
      <c r="FB1" s="103">
        <f t="shared" si="2"/>
        <v>49</v>
      </c>
      <c r="FC1" s="103">
        <f t="shared" si="2"/>
        <v>50</v>
      </c>
      <c r="FD1" s="103">
        <f t="shared" si="2"/>
        <v>51</v>
      </c>
      <c r="FE1" s="103">
        <f>FD1+1</f>
        <v>52</v>
      </c>
    </row>
    <row r="2" spans="1:161" ht="13.5">
      <c r="A2" s="105"/>
      <c r="B2" s="106">
        <f>D9</f>
        <v>45292</v>
      </c>
      <c r="C2" s="107">
        <f>DATE(B11,1,1)</f>
        <v>45292</v>
      </c>
      <c r="D2" s="245">
        <f>IF(C1&gt;=52,1,C2+7)</f>
        <v>45299</v>
      </c>
      <c r="E2" s="108">
        <f aca="true" t="shared" si="3" ref="E2:BC2">D2+7</f>
        <v>45306</v>
      </c>
      <c r="F2" s="108">
        <f t="shared" si="3"/>
        <v>45313</v>
      </c>
      <c r="G2" s="108">
        <f t="shared" si="3"/>
        <v>45320</v>
      </c>
      <c r="H2" s="108">
        <f t="shared" si="3"/>
        <v>45327</v>
      </c>
      <c r="I2" s="108">
        <f t="shared" si="3"/>
        <v>45334</v>
      </c>
      <c r="J2" s="108">
        <f t="shared" si="3"/>
        <v>45341</v>
      </c>
      <c r="K2" s="108">
        <f t="shared" si="3"/>
        <v>45348</v>
      </c>
      <c r="L2" s="108">
        <f t="shared" si="3"/>
        <v>45355</v>
      </c>
      <c r="M2" s="108">
        <f t="shared" si="3"/>
        <v>45362</v>
      </c>
      <c r="N2" s="108">
        <f t="shared" si="3"/>
        <v>45369</v>
      </c>
      <c r="O2" s="108">
        <f t="shared" si="3"/>
        <v>45376</v>
      </c>
      <c r="P2" s="108">
        <f t="shared" si="3"/>
        <v>45383</v>
      </c>
      <c r="Q2" s="108">
        <f t="shared" si="3"/>
        <v>45390</v>
      </c>
      <c r="R2" s="108">
        <f t="shared" si="3"/>
        <v>45397</v>
      </c>
      <c r="S2" s="108">
        <f t="shared" si="3"/>
        <v>45404</v>
      </c>
      <c r="T2" s="108">
        <f t="shared" si="3"/>
        <v>45411</v>
      </c>
      <c r="U2" s="108">
        <f t="shared" si="3"/>
        <v>45418</v>
      </c>
      <c r="V2" s="108">
        <f t="shared" si="3"/>
        <v>45425</v>
      </c>
      <c r="W2" s="108">
        <f t="shared" si="3"/>
        <v>45432</v>
      </c>
      <c r="X2" s="108">
        <f t="shared" si="3"/>
        <v>45439</v>
      </c>
      <c r="Y2" s="108">
        <f t="shared" si="3"/>
        <v>45446</v>
      </c>
      <c r="Z2" s="108">
        <f t="shared" si="3"/>
        <v>45453</v>
      </c>
      <c r="AA2" s="108">
        <f t="shared" si="3"/>
        <v>45460</v>
      </c>
      <c r="AB2" s="108">
        <f t="shared" si="3"/>
        <v>45467</v>
      </c>
      <c r="AC2" s="108">
        <f t="shared" si="3"/>
        <v>45474</v>
      </c>
      <c r="AD2" s="108">
        <f t="shared" si="3"/>
        <v>45481</v>
      </c>
      <c r="AE2" s="108">
        <f t="shared" si="3"/>
        <v>45488</v>
      </c>
      <c r="AF2" s="108">
        <f t="shared" si="3"/>
        <v>45495</v>
      </c>
      <c r="AG2" s="108">
        <f t="shared" si="3"/>
        <v>45502</v>
      </c>
      <c r="AH2" s="108">
        <f t="shared" si="3"/>
        <v>45509</v>
      </c>
      <c r="AI2" s="108">
        <f t="shared" si="3"/>
        <v>45516</v>
      </c>
      <c r="AJ2" s="108">
        <f t="shared" si="3"/>
        <v>45523</v>
      </c>
      <c r="AK2" s="108">
        <f t="shared" si="3"/>
        <v>45530</v>
      </c>
      <c r="AL2" s="108">
        <f t="shared" si="3"/>
        <v>45537</v>
      </c>
      <c r="AM2" s="108">
        <f t="shared" si="3"/>
        <v>45544</v>
      </c>
      <c r="AN2" s="108">
        <f t="shared" si="3"/>
        <v>45551</v>
      </c>
      <c r="AO2" s="108">
        <f t="shared" si="3"/>
        <v>45558</v>
      </c>
      <c r="AP2" s="108">
        <f t="shared" si="3"/>
        <v>45565</v>
      </c>
      <c r="AQ2" s="108">
        <f t="shared" si="3"/>
        <v>45572</v>
      </c>
      <c r="AR2" s="108">
        <f t="shared" si="3"/>
        <v>45579</v>
      </c>
      <c r="AS2" s="108">
        <f t="shared" si="3"/>
        <v>45586</v>
      </c>
      <c r="AT2" s="108">
        <f t="shared" si="3"/>
        <v>45593</v>
      </c>
      <c r="AU2" s="108">
        <f t="shared" si="3"/>
        <v>45600</v>
      </c>
      <c r="AV2" s="108">
        <f t="shared" si="3"/>
        <v>45607</v>
      </c>
      <c r="AW2" s="108">
        <f t="shared" si="3"/>
        <v>45614</v>
      </c>
      <c r="AX2" s="108">
        <f t="shared" si="3"/>
        <v>45621</v>
      </c>
      <c r="AY2" s="108">
        <f t="shared" si="3"/>
        <v>45628</v>
      </c>
      <c r="AZ2" s="108">
        <f t="shared" si="3"/>
        <v>45635</v>
      </c>
      <c r="BA2" s="108">
        <f t="shared" si="3"/>
        <v>45642</v>
      </c>
      <c r="BB2" s="108">
        <f t="shared" si="3"/>
        <v>45649</v>
      </c>
      <c r="BC2" s="108">
        <f t="shared" si="3"/>
        <v>45656</v>
      </c>
      <c r="BD2" s="108">
        <f>DATE(B11+1,1,1)</f>
        <v>45658</v>
      </c>
      <c r="BE2" s="108">
        <f>MAX(AZ9:BF9)</f>
        <v>45663</v>
      </c>
      <c r="BF2" s="108">
        <f aca="true" t="shared" si="4" ref="BF2:DC2">BE2+7</f>
        <v>45670</v>
      </c>
      <c r="BG2" s="108">
        <f t="shared" si="4"/>
        <v>45677</v>
      </c>
      <c r="BH2" s="108">
        <f t="shared" si="4"/>
        <v>45684</v>
      </c>
      <c r="BI2" s="108">
        <f t="shared" si="4"/>
        <v>45691</v>
      </c>
      <c r="BJ2" s="108">
        <f t="shared" si="4"/>
        <v>45698</v>
      </c>
      <c r="BK2" s="108">
        <f t="shared" si="4"/>
        <v>45705</v>
      </c>
      <c r="BL2" s="108">
        <f t="shared" si="4"/>
        <v>45712</v>
      </c>
      <c r="BM2" s="108">
        <f t="shared" si="4"/>
        <v>45719</v>
      </c>
      <c r="BN2" s="108">
        <f t="shared" si="4"/>
        <v>45726</v>
      </c>
      <c r="BO2" s="108">
        <f t="shared" si="4"/>
        <v>45733</v>
      </c>
      <c r="BP2" s="108">
        <f t="shared" si="4"/>
        <v>45740</v>
      </c>
      <c r="BQ2" s="108">
        <f t="shared" si="4"/>
        <v>45747</v>
      </c>
      <c r="BR2" s="108">
        <f t="shared" si="4"/>
        <v>45754</v>
      </c>
      <c r="BS2" s="108">
        <f t="shared" si="4"/>
        <v>45761</v>
      </c>
      <c r="BT2" s="108">
        <f t="shared" si="4"/>
        <v>45768</v>
      </c>
      <c r="BU2" s="108">
        <f t="shared" si="4"/>
        <v>45775</v>
      </c>
      <c r="BV2" s="108">
        <f t="shared" si="4"/>
        <v>45782</v>
      </c>
      <c r="BW2" s="108">
        <f t="shared" si="4"/>
        <v>45789</v>
      </c>
      <c r="BX2" s="108">
        <f t="shared" si="4"/>
        <v>45796</v>
      </c>
      <c r="BY2" s="108">
        <f t="shared" si="4"/>
        <v>45803</v>
      </c>
      <c r="BZ2" s="108">
        <f t="shared" si="4"/>
        <v>45810</v>
      </c>
      <c r="CA2" s="108">
        <f t="shared" si="4"/>
        <v>45817</v>
      </c>
      <c r="CB2" s="108">
        <f t="shared" si="4"/>
        <v>45824</v>
      </c>
      <c r="CC2" s="108">
        <f t="shared" si="4"/>
        <v>45831</v>
      </c>
      <c r="CD2" s="108">
        <f t="shared" si="4"/>
        <v>45838</v>
      </c>
      <c r="CE2" s="108">
        <f t="shared" si="4"/>
        <v>45845</v>
      </c>
      <c r="CF2" s="108">
        <f t="shared" si="4"/>
        <v>45852</v>
      </c>
      <c r="CG2" s="108">
        <f t="shared" si="4"/>
        <v>45859</v>
      </c>
      <c r="CH2" s="108">
        <f t="shared" si="4"/>
        <v>45866</v>
      </c>
      <c r="CI2" s="108">
        <f t="shared" si="4"/>
        <v>45873</v>
      </c>
      <c r="CJ2" s="108">
        <f t="shared" si="4"/>
        <v>45880</v>
      </c>
      <c r="CK2" s="108">
        <f t="shared" si="4"/>
        <v>45887</v>
      </c>
      <c r="CL2" s="108">
        <f t="shared" si="4"/>
        <v>45894</v>
      </c>
      <c r="CM2" s="108">
        <f t="shared" si="4"/>
        <v>45901</v>
      </c>
      <c r="CN2" s="108">
        <f t="shared" si="4"/>
        <v>45908</v>
      </c>
      <c r="CO2" s="108">
        <f t="shared" si="4"/>
        <v>45915</v>
      </c>
      <c r="CP2" s="108">
        <f t="shared" si="4"/>
        <v>45922</v>
      </c>
      <c r="CQ2" s="108">
        <f t="shared" si="4"/>
        <v>45929</v>
      </c>
      <c r="CR2" s="108">
        <f t="shared" si="4"/>
        <v>45936</v>
      </c>
      <c r="CS2" s="108">
        <f t="shared" si="4"/>
        <v>45943</v>
      </c>
      <c r="CT2" s="108">
        <f t="shared" si="4"/>
        <v>45950</v>
      </c>
      <c r="CU2" s="108">
        <f t="shared" si="4"/>
        <v>45957</v>
      </c>
      <c r="CV2" s="108">
        <f t="shared" si="4"/>
        <v>45964</v>
      </c>
      <c r="CW2" s="108">
        <f t="shared" si="4"/>
        <v>45971</v>
      </c>
      <c r="CX2" s="108">
        <f t="shared" si="4"/>
        <v>45978</v>
      </c>
      <c r="CY2" s="108">
        <f t="shared" si="4"/>
        <v>45985</v>
      </c>
      <c r="CZ2" s="108">
        <f t="shared" si="4"/>
        <v>45992</v>
      </c>
      <c r="DA2" s="108">
        <f t="shared" si="4"/>
        <v>45999</v>
      </c>
      <c r="DB2" s="108">
        <f t="shared" si="4"/>
        <v>46006</v>
      </c>
      <c r="DC2" s="109">
        <f t="shared" si="4"/>
        <v>46013</v>
      </c>
      <c r="DD2" s="109">
        <f>DC2+7</f>
        <v>46020</v>
      </c>
      <c r="DE2" s="108">
        <f>DATE(B11+2,1,1)</f>
        <v>46023</v>
      </c>
      <c r="DF2" s="108">
        <f>MAX(DA9:DG9)</f>
        <v>46027</v>
      </c>
      <c r="DG2" s="108">
        <f aca="true" t="shared" si="5" ref="DG2:FD2">DF2+7</f>
        <v>46034</v>
      </c>
      <c r="DH2" s="108">
        <f t="shared" si="5"/>
        <v>46041</v>
      </c>
      <c r="DI2" s="108">
        <f t="shared" si="5"/>
        <v>46048</v>
      </c>
      <c r="DJ2" s="108">
        <f t="shared" si="5"/>
        <v>46055</v>
      </c>
      <c r="DK2" s="108">
        <f t="shared" si="5"/>
        <v>46062</v>
      </c>
      <c r="DL2" s="108">
        <f t="shared" si="5"/>
        <v>46069</v>
      </c>
      <c r="DM2" s="108">
        <f t="shared" si="5"/>
        <v>46076</v>
      </c>
      <c r="DN2" s="108">
        <f t="shared" si="5"/>
        <v>46083</v>
      </c>
      <c r="DO2" s="108">
        <f t="shared" si="5"/>
        <v>46090</v>
      </c>
      <c r="DP2" s="108">
        <f t="shared" si="5"/>
        <v>46097</v>
      </c>
      <c r="DQ2" s="108">
        <f t="shared" si="5"/>
        <v>46104</v>
      </c>
      <c r="DR2" s="108">
        <f t="shared" si="5"/>
        <v>46111</v>
      </c>
      <c r="DS2" s="108">
        <f t="shared" si="5"/>
        <v>46118</v>
      </c>
      <c r="DT2" s="108">
        <f t="shared" si="5"/>
        <v>46125</v>
      </c>
      <c r="DU2" s="108">
        <f t="shared" si="5"/>
        <v>46132</v>
      </c>
      <c r="DV2" s="108">
        <f t="shared" si="5"/>
        <v>46139</v>
      </c>
      <c r="DW2" s="108">
        <f t="shared" si="5"/>
        <v>46146</v>
      </c>
      <c r="DX2" s="108">
        <f t="shared" si="5"/>
        <v>46153</v>
      </c>
      <c r="DY2" s="108">
        <f t="shared" si="5"/>
        <v>46160</v>
      </c>
      <c r="DZ2" s="108">
        <f t="shared" si="5"/>
        <v>46167</v>
      </c>
      <c r="EA2" s="108">
        <f t="shared" si="5"/>
        <v>46174</v>
      </c>
      <c r="EB2" s="108">
        <f t="shared" si="5"/>
        <v>46181</v>
      </c>
      <c r="EC2" s="108">
        <f t="shared" si="5"/>
        <v>46188</v>
      </c>
      <c r="ED2" s="108">
        <f t="shared" si="5"/>
        <v>46195</v>
      </c>
      <c r="EE2" s="108">
        <f t="shared" si="5"/>
        <v>46202</v>
      </c>
      <c r="EF2" s="108">
        <f t="shared" si="5"/>
        <v>46209</v>
      </c>
      <c r="EG2" s="108">
        <f t="shared" si="5"/>
        <v>46216</v>
      </c>
      <c r="EH2" s="108">
        <f t="shared" si="5"/>
        <v>46223</v>
      </c>
      <c r="EI2" s="108">
        <f t="shared" si="5"/>
        <v>46230</v>
      </c>
      <c r="EJ2" s="108">
        <f t="shared" si="5"/>
        <v>46237</v>
      </c>
      <c r="EK2" s="108">
        <f t="shared" si="5"/>
        <v>46244</v>
      </c>
      <c r="EL2" s="108">
        <f t="shared" si="5"/>
        <v>46251</v>
      </c>
      <c r="EM2" s="108">
        <f t="shared" si="5"/>
        <v>46258</v>
      </c>
      <c r="EN2" s="108">
        <f t="shared" si="5"/>
        <v>46265</v>
      </c>
      <c r="EO2" s="108">
        <f t="shared" si="5"/>
        <v>46272</v>
      </c>
      <c r="EP2" s="108">
        <f t="shared" si="5"/>
        <v>46279</v>
      </c>
      <c r="EQ2" s="108">
        <f t="shared" si="5"/>
        <v>46286</v>
      </c>
      <c r="ER2" s="108">
        <f t="shared" si="5"/>
        <v>46293</v>
      </c>
      <c r="ES2" s="108">
        <f t="shared" si="5"/>
        <v>46300</v>
      </c>
      <c r="ET2" s="108">
        <f t="shared" si="5"/>
        <v>46307</v>
      </c>
      <c r="EU2" s="108">
        <f t="shared" si="5"/>
        <v>46314</v>
      </c>
      <c r="EV2" s="108">
        <f t="shared" si="5"/>
        <v>46321</v>
      </c>
      <c r="EW2" s="108">
        <f t="shared" si="5"/>
        <v>46328</v>
      </c>
      <c r="EX2" s="108">
        <f t="shared" si="5"/>
        <v>46335</v>
      </c>
      <c r="EY2" s="108">
        <f t="shared" si="5"/>
        <v>46342</v>
      </c>
      <c r="EZ2" s="108">
        <f t="shared" si="5"/>
        <v>46349</v>
      </c>
      <c r="FA2" s="108">
        <f t="shared" si="5"/>
        <v>46356</v>
      </c>
      <c r="FB2" s="108">
        <f t="shared" si="5"/>
        <v>46363</v>
      </c>
      <c r="FC2" s="108">
        <f t="shared" si="5"/>
        <v>46370</v>
      </c>
      <c r="FD2" s="109">
        <f t="shared" si="5"/>
        <v>46377</v>
      </c>
      <c r="FE2" s="109">
        <f>FD2+7</f>
        <v>46384</v>
      </c>
    </row>
    <row r="3" spans="1:161" ht="13.5">
      <c r="A3" s="105"/>
      <c r="B3" s="110">
        <f>WEEKDAY(DATE(B11,1,1))</f>
        <v>2</v>
      </c>
      <c r="C3" s="111">
        <f>C2</f>
        <v>45292</v>
      </c>
      <c r="D3" s="111">
        <f>D2</f>
        <v>45299</v>
      </c>
      <c r="AZ3" s="112">
        <f>AZ9</f>
        <v>45656</v>
      </c>
      <c r="BB3" s="113"/>
      <c r="BC3" s="111">
        <f>WEEKDAY(BC2)</f>
        <v>2</v>
      </c>
      <c r="BD3" s="111">
        <f>WEEKDAY(BD2)</f>
        <v>4</v>
      </c>
      <c r="BE3" s="111">
        <f>BE2</f>
        <v>45663</v>
      </c>
      <c r="DD3" s="111">
        <f>WEEKDAY(DD2)</f>
        <v>2</v>
      </c>
      <c r="DE3" s="111">
        <f>WEEKDAY(DE2)</f>
        <v>5</v>
      </c>
      <c r="DF3" s="111">
        <f>DF2</f>
        <v>46027</v>
      </c>
      <c r="FE3" s="111">
        <f>WEEKDAY(FE2)</f>
        <v>2</v>
      </c>
    </row>
    <row r="4" spans="1:162" ht="13.5">
      <c r="A4" s="105"/>
      <c r="B4" s="114"/>
      <c r="C4" s="11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f>WEEKDAY(BC3)</f>
        <v>2</v>
      </c>
      <c r="BD4" s="105">
        <f>WEEKDAY(BD3)</f>
        <v>4</v>
      </c>
      <c r="BE4" s="105" t="s">
        <v>95</v>
      </c>
      <c r="BF4" s="105"/>
      <c r="DD4" s="105">
        <f>WEEKDAY(DD3)</f>
        <v>2</v>
      </c>
      <c r="DE4" s="105">
        <f>WEEKDAY(DE3)</f>
        <v>5</v>
      </c>
      <c r="DF4" s="101" t="s">
        <v>95</v>
      </c>
      <c r="FF4" s="101" t="s">
        <v>96</v>
      </c>
    </row>
    <row r="5" spans="1:162" ht="13.5">
      <c r="A5" s="105"/>
      <c r="B5" s="114"/>
      <c r="C5" s="116">
        <f>C1</f>
        <v>1</v>
      </c>
      <c r="D5" s="116">
        <f aca="true" t="shared" si="6" ref="D5:BO5">D1</f>
        <v>2</v>
      </c>
      <c r="E5" s="116">
        <f t="shared" si="6"/>
        <v>3</v>
      </c>
      <c r="F5" s="116">
        <f t="shared" si="6"/>
        <v>4</v>
      </c>
      <c r="G5" s="116">
        <f t="shared" si="6"/>
        <v>5</v>
      </c>
      <c r="H5" s="116">
        <f t="shared" si="6"/>
        <v>6</v>
      </c>
      <c r="I5" s="116">
        <f t="shared" si="6"/>
        <v>7</v>
      </c>
      <c r="J5" s="116">
        <f t="shared" si="6"/>
        <v>8</v>
      </c>
      <c r="K5" s="116">
        <f t="shared" si="6"/>
        <v>9</v>
      </c>
      <c r="L5" s="116">
        <f t="shared" si="6"/>
        <v>10</v>
      </c>
      <c r="M5" s="116">
        <f t="shared" si="6"/>
        <v>11</v>
      </c>
      <c r="N5" s="116">
        <f t="shared" si="6"/>
        <v>12</v>
      </c>
      <c r="O5" s="116">
        <f t="shared" si="6"/>
        <v>13</v>
      </c>
      <c r="P5" s="116">
        <f t="shared" si="6"/>
        <v>14</v>
      </c>
      <c r="Q5" s="116">
        <f t="shared" si="6"/>
        <v>15</v>
      </c>
      <c r="R5" s="116">
        <f t="shared" si="6"/>
        <v>16</v>
      </c>
      <c r="S5" s="116">
        <f t="shared" si="6"/>
        <v>17</v>
      </c>
      <c r="T5" s="116">
        <f t="shared" si="6"/>
        <v>18</v>
      </c>
      <c r="U5" s="116">
        <f t="shared" si="6"/>
        <v>19</v>
      </c>
      <c r="V5" s="116">
        <f t="shared" si="6"/>
        <v>20</v>
      </c>
      <c r="W5" s="116">
        <f t="shared" si="6"/>
        <v>21</v>
      </c>
      <c r="X5" s="116">
        <f t="shared" si="6"/>
        <v>22</v>
      </c>
      <c r="Y5" s="116">
        <f t="shared" si="6"/>
        <v>23</v>
      </c>
      <c r="Z5" s="116">
        <f t="shared" si="6"/>
        <v>24</v>
      </c>
      <c r="AA5" s="116">
        <f t="shared" si="6"/>
        <v>25</v>
      </c>
      <c r="AB5" s="116">
        <f t="shared" si="6"/>
        <v>26</v>
      </c>
      <c r="AC5" s="116">
        <f t="shared" si="6"/>
        <v>27</v>
      </c>
      <c r="AD5" s="116">
        <f t="shared" si="6"/>
        <v>28</v>
      </c>
      <c r="AE5" s="116">
        <f t="shared" si="6"/>
        <v>29</v>
      </c>
      <c r="AF5" s="116">
        <f t="shared" si="6"/>
        <v>30</v>
      </c>
      <c r="AG5" s="116">
        <f t="shared" si="6"/>
        <v>31</v>
      </c>
      <c r="AH5" s="116">
        <f t="shared" si="6"/>
        <v>32</v>
      </c>
      <c r="AI5" s="116">
        <f t="shared" si="6"/>
        <v>33</v>
      </c>
      <c r="AJ5" s="116">
        <f t="shared" si="6"/>
        <v>34</v>
      </c>
      <c r="AK5" s="116">
        <f t="shared" si="6"/>
        <v>35</v>
      </c>
      <c r="AL5" s="116">
        <f t="shared" si="6"/>
        <v>36</v>
      </c>
      <c r="AM5" s="116">
        <f t="shared" si="6"/>
        <v>37</v>
      </c>
      <c r="AN5" s="116">
        <f t="shared" si="6"/>
        <v>38</v>
      </c>
      <c r="AO5" s="116">
        <f t="shared" si="6"/>
        <v>39</v>
      </c>
      <c r="AP5" s="116">
        <f t="shared" si="6"/>
        <v>40</v>
      </c>
      <c r="AQ5" s="116">
        <f t="shared" si="6"/>
        <v>41</v>
      </c>
      <c r="AR5" s="116">
        <f t="shared" si="6"/>
        <v>42</v>
      </c>
      <c r="AS5" s="116">
        <f t="shared" si="6"/>
        <v>43</v>
      </c>
      <c r="AT5" s="116">
        <f t="shared" si="6"/>
        <v>44</v>
      </c>
      <c r="AU5" s="116">
        <f t="shared" si="6"/>
        <v>45</v>
      </c>
      <c r="AV5" s="116">
        <f t="shared" si="6"/>
        <v>46</v>
      </c>
      <c r="AW5" s="116">
        <f t="shared" si="6"/>
        <v>47</v>
      </c>
      <c r="AX5" s="116">
        <f t="shared" si="6"/>
        <v>48</v>
      </c>
      <c r="AY5" s="116">
        <f t="shared" si="6"/>
        <v>49</v>
      </c>
      <c r="AZ5" s="116">
        <f t="shared" si="6"/>
        <v>50</v>
      </c>
      <c r="BA5" s="116">
        <f t="shared" si="6"/>
        <v>51</v>
      </c>
      <c r="BB5" s="116">
        <f t="shared" si="6"/>
        <v>52</v>
      </c>
      <c r="BC5" s="116">
        <f t="shared" si="6"/>
        <v>53</v>
      </c>
      <c r="BD5" s="116">
        <f t="shared" si="6"/>
        <v>53</v>
      </c>
      <c r="BE5" s="116">
        <f t="shared" si="6"/>
        <v>1</v>
      </c>
      <c r="BF5" s="116">
        <f t="shared" si="6"/>
        <v>2</v>
      </c>
      <c r="BG5" s="116">
        <f t="shared" si="6"/>
        <v>3</v>
      </c>
      <c r="BH5" s="116">
        <f t="shared" si="6"/>
        <v>4</v>
      </c>
      <c r="BI5" s="116">
        <f t="shared" si="6"/>
        <v>5</v>
      </c>
      <c r="BJ5" s="116">
        <f t="shared" si="6"/>
        <v>6</v>
      </c>
      <c r="BK5" s="116">
        <f t="shared" si="6"/>
        <v>7</v>
      </c>
      <c r="BL5" s="116">
        <f t="shared" si="6"/>
        <v>8</v>
      </c>
      <c r="BM5" s="116">
        <f t="shared" si="6"/>
        <v>9</v>
      </c>
      <c r="BN5" s="116">
        <f t="shared" si="6"/>
        <v>10</v>
      </c>
      <c r="BO5" s="116">
        <f t="shared" si="6"/>
        <v>11</v>
      </c>
      <c r="BP5" s="116">
        <f aca="true" t="shared" si="7" ref="BP5:EA5">BP1</f>
        <v>12</v>
      </c>
      <c r="BQ5" s="116">
        <f t="shared" si="7"/>
        <v>13</v>
      </c>
      <c r="BR5" s="116">
        <f t="shared" si="7"/>
        <v>14</v>
      </c>
      <c r="BS5" s="116">
        <f t="shared" si="7"/>
        <v>15</v>
      </c>
      <c r="BT5" s="116">
        <f t="shared" si="7"/>
        <v>16</v>
      </c>
      <c r="BU5" s="116">
        <f t="shared" si="7"/>
        <v>17</v>
      </c>
      <c r="BV5" s="116">
        <f t="shared" si="7"/>
        <v>18</v>
      </c>
      <c r="BW5" s="116">
        <f t="shared" si="7"/>
        <v>19</v>
      </c>
      <c r="BX5" s="116">
        <f t="shared" si="7"/>
        <v>20</v>
      </c>
      <c r="BY5" s="116">
        <f t="shared" si="7"/>
        <v>21</v>
      </c>
      <c r="BZ5" s="116">
        <f t="shared" si="7"/>
        <v>22</v>
      </c>
      <c r="CA5" s="116">
        <f t="shared" si="7"/>
        <v>23</v>
      </c>
      <c r="CB5" s="116">
        <f t="shared" si="7"/>
        <v>24</v>
      </c>
      <c r="CC5" s="116">
        <f t="shared" si="7"/>
        <v>25</v>
      </c>
      <c r="CD5" s="116">
        <f t="shared" si="7"/>
        <v>26</v>
      </c>
      <c r="CE5" s="116">
        <f t="shared" si="7"/>
        <v>27</v>
      </c>
      <c r="CF5" s="116">
        <f t="shared" si="7"/>
        <v>28</v>
      </c>
      <c r="CG5" s="116">
        <f t="shared" si="7"/>
        <v>29</v>
      </c>
      <c r="CH5" s="116">
        <f t="shared" si="7"/>
        <v>30</v>
      </c>
      <c r="CI5" s="116">
        <f t="shared" si="7"/>
        <v>31</v>
      </c>
      <c r="CJ5" s="116">
        <f t="shared" si="7"/>
        <v>32</v>
      </c>
      <c r="CK5" s="116">
        <f t="shared" si="7"/>
        <v>33</v>
      </c>
      <c r="CL5" s="116">
        <f t="shared" si="7"/>
        <v>34</v>
      </c>
      <c r="CM5" s="116">
        <f t="shared" si="7"/>
        <v>35</v>
      </c>
      <c r="CN5" s="116">
        <f t="shared" si="7"/>
        <v>36</v>
      </c>
      <c r="CO5" s="116">
        <f t="shared" si="7"/>
        <v>37</v>
      </c>
      <c r="CP5" s="116">
        <f t="shared" si="7"/>
        <v>38</v>
      </c>
      <c r="CQ5" s="116">
        <f t="shared" si="7"/>
        <v>39</v>
      </c>
      <c r="CR5" s="116">
        <f t="shared" si="7"/>
        <v>40</v>
      </c>
      <c r="CS5" s="116">
        <f t="shared" si="7"/>
        <v>41</v>
      </c>
      <c r="CT5" s="116">
        <f t="shared" si="7"/>
        <v>42</v>
      </c>
      <c r="CU5" s="116">
        <f t="shared" si="7"/>
        <v>43</v>
      </c>
      <c r="CV5" s="116">
        <f t="shared" si="7"/>
        <v>44</v>
      </c>
      <c r="CW5" s="116">
        <f t="shared" si="7"/>
        <v>45</v>
      </c>
      <c r="CX5" s="116">
        <f t="shared" si="7"/>
        <v>46</v>
      </c>
      <c r="CY5" s="116">
        <f t="shared" si="7"/>
        <v>47</v>
      </c>
      <c r="CZ5" s="116">
        <f t="shared" si="7"/>
        <v>48</v>
      </c>
      <c r="DA5" s="116">
        <f t="shared" si="7"/>
        <v>49</v>
      </c>
      <c r="DB5" s="116">
        <f t="shared" si="7"/>
        <v>50</v>
      </c>
      <c r="DC5" s="116">
        <f t="shared" si="7"/>
        <v>51</v>
      </c>
      <c r="DD5" s="116">
        <f t="shared" si="7"/>
        <v>52</v>
      </c>
      <c r="DE5" s="116">
        <f t="shared" si="7"/>
        <v>52</v>
      </c>
      <c r="DF5" s="116">
        <f t="shared" si="7"/>
        <v>1</v>
      </c>
      <c r="DG5" s="116">
        <f t="shared" si="7"/>
        <v>2</v>
      </c>
      <c r="DH5" s="116">
        <f t="shared" si="7"/>
        <v>3</v>
      </c>
      <c r="DI5" s="116">
        <f t="shared" si="7"/>
        <v>4</v>
      </c>
      <c r="DJ5" s="116">
        <f t="shared" si="7"/>
        <v>5</v>
      </c>
      <c r="DK5" s="116">
        <f t="shared" si="7"/>
        <v>6</v>
      </c>
      <c r="DL5" s="116">
        <f t="shared" si="7"/>
        <v>7</v>
      </c>
      <c r="DM5" s="116">
        <f t="shared" si="7"/>
        <v>8</v>
      </c>
      <c r="DN5" s="116">
        <f t="shared" si="7"/>
        <v>9</v>
      </c>
      <c r="DO5" s="116">
        <f t="shared" si="7"/>
        <v>10</v>
      </c>
      <c r="DP5" s="116">
        <f t="shared" si="7"/>
        <v>11</v>
      </c>
      <c r="DQ5" s="116">
        <f t="shared" si="7"/>
        <v>12</v>
      </c>
      <c r="DR5" s="116">
        <f t="shared" si="7"/>
        <v>13</v>
      </c>
      <c r="DS5" s="116">
        <f t="shared" si="7"/>
        <v>14</v>
      </c>
      <c r="DT5" s="116">
        <f t="shared" si="7"/>
        <v>15</v>
      </c>
      <c r="DU5" s="116">
        <f t="shared" si="7"/>
        <v>16</v>
      </c>
      <c r="DV5" s="116">
        <f t="shared" si="7"/>
        <v>17</v>
      </c>
      <c r="DW5" s="116">
        <f t="shared" si="7"/>
        <v>18</v>
      </c>
      <c r="DX5" s="116">
        <f t="shared" si="7"/>
        <v>19</v>
      </c>
      <c r="DY5" s="116">
        <f t="shared" si="7"/>
        <v>20</v>
      </c>
      <c r="DZ5" s="116">
        <f t="shared" si="7"/>
        <v>21</v>
      </c>
      <c r="EA5" s="116">
        <f t="shared" si="7"/>
        <v>22</v>
      </c>
      <c r="EB5" s="116">
        <f aca="true" t="shared" si="8" ref="EB5:FE5">EB1</f>
        <v>23</v>
      </c>
      <c r="EC5" s="116">
        <f t="shared" si="8"/>
        <v>24</v>
      </c>
      <c r="ED5" s="116">
        <f t="shared" si="8"/>
        <v>25</v>
      </c>
      <c r="EE5" s="116">
        <f t="shared" si="8"/>
        <v>26</v>
      </c>
      <c r="EF5" s="116">
        <f t="shared" si="8"/>
        <v>27</v>
      </c>
      <c r="EG5" s="116">
        <f t="shared" si="8"/>
        <v>28</v>
      </c>
      <c r="EH5" s="116">
        <f t="shared" si="8"/>
        <v>29</v>
      </c>
      <c r="EI5" s="116">
        <f t="shared" si="8"/>
        <v>30</v>
      </c>
      <c r="EJ5" s="116">
        <f t="shared" si="8"/>
        <v>31</v>
      </c>
      <c r="EK5" s="116">
        <f t="shared" si="8"/>
        <v>32</v>
      </c>
      <c r="EL5" s="116">
        <f t="shared" si="8"/>
        <v>33</v>
      </c>
      <c r="EM5" s="116">
        <f t="shared" si="8"/>
        <v>34</v>
      </c>
      <c r="EN5" s="116">
        <f t="shared" si="8"/>
        <v>35</v>
      </c>
      <c r="EO5" s="116">
        <f t="shared" si="8"/>
        <v>36</v>
      </c>
      <c r="EP5" s="116">
        <f t="shared" si="8"/>
        <v>37</v>
      </c>
      <c r="EQ5" s="116">
        <f t="shared" si="8"/>
        <v>38</v>
      </c>
      <c r="ER5" s="116">
        <f t="shared" si="8"/>
        <v>39</v>
      </c>
      <c r="ES5" s="116">
        <f t="shared" si="8"/>
        <v>40</v>
      </c>
      <c r="ET5" s="116">
        <f t="shared" si="8"/>
        <v>41</v>
      </c>
      <c r="EU5" s="116">
        <f t="shared" si="8"/>
        <v>42</v>
      </c>
      <c r="EV5" s="116">
        <f t="shared" si="8"/>
        <v>43</v>
      </c>
      <c r="EW5" s="116">
        <f t="shared" si="8"/>
        <v>44</v>
      </c>
      <c r="EX5" s="116">
        <f t="shared" si="8"/>
        <v>45</v>
      </c>
      <c r="EY5" s="116">
        <f t="shared" si="8"/>
        <v>46</v>
      </c>
      <c r="EZ5" s="116">
        <f t="shared" si="8"/>
        <v>47</v>
      </c>
      <c r="FA5" s="116">
        <f t="shared" si="8"/>
        <v>48</v>
      </c>
      <c r="FB5" s="116">
        <f t="shared" si="8"/>
        <v>49</v>
      </c>
      <c r="FC5" s="116">
        <f t="shared" si="8"/>
        <v>50</v>
      </c>
      <c r="FD5" s="116">
        <f t="shared" si="8"/>
        <v>51</v>
      </c>
      <c r="FE5" s="116">
        <f t="shared" si="8"/>
        <v>52</v>
      </c>
      <c r="FF5" s="101" t="s">
        <v>96</v>
      </c>
    </row>
    <row r="6" spans="1:162" ht="13.5">
      <c r="A6" s="105"/>
      <c r="B6" s="117">
        <f>LOOKUP(B3,D7:J7,D9:J9)</f>
        <v>45292</v>
      </c>
      <c r="C6" s="105"/>
      <c r="D6" s="246">
        <f aca="true" t="shared" si="9" ref="D6:K6">D8</f>
        <v>45292</v>
      </c>
      <c r="E6" s="246">
        <f t="shared" si="9"/>
        <v>45293</v>
      </c>
      <c r="F6" s="246">
        <f t="shared" si="9"/>
        <v>45294</v>
      </c>
      <c r="G6" s="246">
        <f t="shared" si="9"/>
        <v>45295</v>
      </c>
      <c r="H6" s="246">
        <f t="shared" si="9"/>
        <v>45296</v>
      </c>
      <c r="I6" s="246">
        <f t="shared" si="9"/>
        <v>45297</v>
      </c>
      <c r="J6" s="246">
        <f t="shared" si="9"/>
        <v>45298</v>
      </c>
      <c r="K6" s="246">
        <f t="shared" si="9"/>
        <v>41280</v>
      </c>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18">
        <f aca="true" t="shared" si="10" ref="AZ6:BG6">AZ8</f>
        <v>45658</v>
      </c>
      <c r="BA6" s="118">
        <f t="shared" si="10"/>
        <v>45659</v>
      </c>
      <c r="BB6" s="118">
        <f t="shared" si="10"/>
        <v>45660</v>
      </c>
      <c r="BC6" s="118">
        <f t="shared" si="10"/>
        <v>45661</v>
      </c>
      <c r="BD6" s="118">
        <f t="shared" si="10"/>
        <v>45662</v>
      </c>
      <c r="BE6" s="118">
        <f t="shared" si="10"/>
        <v>45663</v>
      </c>
      <c r="BF6" s="118">
        <f t="shared" si="10"/>
        <v>45664</v>
      </c>
      <c r="BG6" s="118">
        <f t="shared" si="10"/>
        <v>41280</v>
      </c>
      <c r="CS6" s="105"/>
      <c r="CT6" s="105"/>
      <c r="CU6" s="105"/>
      <c r="CV6" s="105"/>
      <c r="CW6" s="105"/>
      <c r="CX6" s="105"/>
      <c r="CY6" s="105"/>
      <c r="CZ6" s="105"/>
      <c r="DA6" s="118">
        <f aca="true" t="shared" si="11" ref="DA6:DH6">DA8</f>
        <v>46023</v>
      </c>
      <c r="DB6" s="118">
        <f t="shared" si="11"/>
        <v>46024</v>
      </c>
      <c r="DC6" s="118">
        <f t="shared" si="11"/>
        <v>46025</v>
      </c>
      <c r="DD6" s="118">
        <f t="shared" si="11"/>
        <v>46026</v>
      </c>
      <c r="DE6" s="118">
        <f t="shared" si="11"/>
        <v>46027</v>
      </c>
      <c r="DF6" s="118">
        <f t="shared" si="11"/>
        <v>46028</v>
      </c>
      <c r="DG6" s="118">
        <f t="shared" si="11"/>
        <v>46029</v>
      </c>
      <c r="DH6" s="118">
        <f t="shared" si="11"/>
        <v>41280</v>
      </c>
      <c r="FF6" s="101" t="s">
        <v>95</v>
      </c>
    </row>
    <row r="7" spans="1:112" ht="13.5">
      <c r="A7" s="105"/>
      <c r="B7" s="119" t="str">
        <f>IF(OR(B3=1,B3=2),"Week 1","Week 2")</f>
        <v>Week 1</v>
      </c>
      <c r="C7" s="105"/>
      <c r="D7" s="247">
        <f>WEEKDAY(D8)</f>
        <v>2</v>
      </c>
      <c r="E7" s="247">
        <f aca="true" t="shared" si="12" ref="E7:K7">WEEKDAY(E8)</f>
        <v>3</v>
      </c>
      <c r="F7" s="247">
        <f t="shared" si="12"/>
        <v>4</v>
      </c>
      <c r="G7" s="247">
        <f t="shared" si="12"/>
        <v>5</v>
      </c>
      <c r="H7" s="247">
        <f t="shared" si="12"/>
        <v>6</v>
      </c>
      <c r="I7" s="247">
        <f t="shared" si="12"/>
        <v>7</v>
      </c>
      <c r="J7" s="247">
        <f t="shared" si="12"/>
        <v>1</v>
      </c>
      <c r="K7" s="247">
        <f t="shared" si="12"/>
        <v>1</v>
      </c>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f aca="true" t="shared" si="13" ref="AR7:AY7">WEEKDAY(AR8)</f>
        <v>3</v>
      </c>
      <c r="AS7" s="105">
        <f t="shared" si="13"/>
        <v>4</v>
      </c>
      <c r="AT7" s="105">
        <f t="shared" si="13"/>
        <v>5</v>
      </c>
      <c r="AU7" s="105">
        <f t="shared" si="13"/>
        <v>6</v>
      </c>
      <c r="AV7" s="105">
        <f t="shared" si="13"/>
        <v>7</v>
      </c>
      <c r="AW7" s="105">
        <f t="shared" si="13"/>
        <v>1</v>
      </c>
      <c r="AX7" s="105">
        <f t="shared" si="13"/>
        <v>2</v>
      </c>
      <c r="AY7" s="105">
        <f t="shared" si="13"/>
        <v>3</v>
      </c>
      <c r="AZ7" s="105">
        <f>WEEKDAY(AZ8)</f>
        <v>4</v>
      </c>
      <c r="BA7" s="105">
        <f aca="true" t="shared" si="14" ref="BA7:BG7">WEEKDAY(BA8)</f>
        <v>5</v>
      </c>
      <c r="BB7" s="105">
        <f t="shared" si="14"/>
        <v>6</v>
      </c>
      <c r="BC7" s="105">
        <f t="shared" si="14"/>
        <v>7</v>
      </c>
      <c r="BD7" s="105">
        <f t="shared" si="14"/>
        <v>1</v>
      </c>
      <c r="BE7" s="105">
        <f t="shared" si="14"/>
        <v>2</v>
      </c>
      <c r="BF7" s="105">
        <f t="shared" si="14"/>
        <v>3</v>
      </c>
      <c r="BG7" s="105">
        <f t="shared" si="14"/>
        <v>1</v>
      </c>
      <c r="CS7" s="105">
        <f aca="true" t="shared" si="15" ref="CS7:CZ7">WEEKDAY(CS8)</f>
        <v>4</v>
      </c>
      <c r="CT7" s="105">
        <f t="shared" si="15"/>
        <v>5</v>
      </c>
      <c r="CU7" s="105">
        <f t="shared" si="15"/>
        <v>6</v>
      </c>
      <c r="CV7" s="105">
        <f t="shared" si="15"/>
        <v>7</v>
      </c>
      <c r="CW7" s="105">
        <f t="shared" si="15"/>
        <v>1</v>
      </c>
      <c r="CX7" s="105">
        <f t="shared" si="15"/>
        <v>2</v>
      </c>
      <c r="CY7" s="105">
        <f t="shared" si="15"/>
        <v>3</v>
      </c>
      <c r="CZ7" s="105">
        <f t="shared" si="15"/>
        <v>4</v>
      </c>
      <c r="DA7" s="105">
        <f>WEEKDAY(DA8)</f>
        <v>5</v>
      </c>
      <c r="DB7" s="105">
        <f aca="true" t="shared" si="16" ref="DB7:DH7">WEEKDAY(DB8)</f>
        <v>6</v>
      </c>
      <c r="DC7" s="105">
        <f t="shared" si="16"/>
        <v>7</v>
      </c>
      <c r="DD7" s="105">
        <f t="shared" si="16"/>
        <v>1</v>
      </c>
      <c r="DE7" s="105">
        <f t="shared" si="16"/>
        <v>2</v>
      </c>
      <c r="DF7" s="105">
        <f t="shared" si="16"/>
        <v>3</v>
      </c>
      <c r="DG7" s="105">
        <f t="shared" si="16"/>
        <v>4</v>
      </c>
      <c r="DH7" s="105">
        <f t="shared" si="16"/>
        <v>1</v>
      </c>
    </row>
    <row r="8" spans="1:112" ht="13.5">
      <c r="A8" s="105"/>
      <c r="B8" s="120"/>
      <c r="C8" s="105"/>
      <c r="D8" s="248">
        <f>DATE(B11,1,1)</f>
        <v>45292</v>
      </c>
      <c r="E8" s="248">
        <f aca="true" t="shared" si="17" ref="E8:J8">D8+1</f>
        <v>45293</v>
      </c>
      <c r="F8" s="248">
        <f t="shared" si="17"/>
        <v>45294</v>
      </c>
      <c r="G8" s="248">
        <f t="shared" si="17"/>
        <v>45295</v>
      </c>
      <c r="H8" s="248">
        <f t="shared" si="17"/>
        <v>45296</v>
      </c>
      <c r="I8" s="248">
        <f t="shared" si="17"/>
        <v>45297</v>
      </c>
      <c r="J8" s="248">
        <f t="shared" si="17"/>
        <v>45298</v>
      </c>
      <c r="K8" s="249">
        <v>41280</v>
      </c>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21">
        <f aca="true" t="shared" si="18" ref="AR8:AY8">AS8-1</f>
        <v>45650</v>
      </c>
      <c r="AS8" s="121">
        <f t="shared" si="18"/>
        <v>45651</v>
      </c>
      <c r="AT8" s="121">
        <f t="shared" si="18"/>
        <v>45652</v>
      </c>
      <c r="AU8" s="121">
        <f t="shared" si="18"/>
        <v>45653</v>
      </c>
      <c r="AV8" s="121">
        <f t="shared" si="18"/>
        <v>45654</v>
      </c>
      <c r="AW8" s="121">
        <f t="shared" si="18"/>
        <v>45655</v>
      </c>
      <c r="AX8" s="121">
        <f t="shared" si="18"/>
        <v>45656</v>
      </c>
      <c r="AY8" s="121">
        <f t="shared" si="18"/>
        <v>45657</v>
      </c>
      <c r="AZ8" s="123">
        <f>DATE(B11+1,1,1)</f>
        <v>45658</v>
      </c>
      <c r="BA8" s="121">
        <f aca="true" t="shared" si="19" ref="BA8:BF8">AZ8+1</f>
        <v>45659</v>
      </c>
      <c r="BB8" s="121">
        <f t="shared" si="19"/>
        <v>45660</v>
      </c>
      <c r="BC8" s="121">
        <f t="shared" si="19"/>
        <v>45661</v>
      </c>
      <c r="BD8" s="121">
        <f t="shared" si="19"/>
        <v>45662</v>
      </c>
      <c r="BE8" s="121">
        <f t="shared" si="19"/>
        <v>45663</v>
      </c>
      <c r="BF8" s="121">
        <f t="shared" si="19"/>
        <v>45664</v>
      </c>
      <c r="BG8" s="122">
        <v>41280</v>
      </c>
      <c r="CS8" s="121">
        <f aca="true" t="shared" si="20" ref="CS8:CZ8">CT8-1</f>
        <v>46015</v>
      </c>
      <c r="CT8" s="121">
        <f t="shared" si="20"/>
        <v>46016</v>
      </c>
      <c r="CU8" s="121">
        <f t="shared" si="20"/>
        <v>46017</v>
      </c>
      <c r="CV8" s="121">
        <f t="shared" si="20"/>
        <v>46018</v>
      </c>
      <c r="CW8" s="121">
        <f t="shared" si="20"/>
        <v>46019</v>
      </c>
      <c r="CX8" s="121">
        <f t="shared" si="20"/>
        <v>46020</v>
      </c>
      <c r="CY8" s="121">
        <f t="shared" si="20"/>
        <v>46021</v>
      </c>
      <c r="CZ8" s="121">
        <f t="shared" si="20"/>
        <v>46022</v>
      </c>
      <c r="DA8" s="123">
        <f>DATE(B11+2,1,1)</f>
        <v>46023</v>
      </c>
      <c r="DB8" s="121">
        <f aca="true" t="shared" si="21" ref="DB8:DG8">DA8+1</f>
        <v>46024</v>
      </c>
      <c r="DC8" s="121">
        <f t="shared" si="21"/>
        <v>46025</v>
      </c>
      <c r="DD8" s="121">
        <f t="shared" si="21"/>
        <v>46026</v>
      </c>
      <c r="DE8" s="121">
        <f t="shared" si="21"/>
        <v>46027</v>
      </c>
      <c r="DF8" s="121">
        <f t="shared" si="21"/>
        <v>46028</v>
      </c>
      <c r="DG8" s="121">
        <f t="shared" si="21"/>
        <v>46029</v>
      </c>
      <c r="DH8" s="122">
        <v>41280</v>
      </c>
    </row>
    <row r="9" spans="1:112" ht="13.5">
      <c r="A9" s="105"/>
      <c r="B9" s="117">
        <f ca="1">IF(WEEKDAY(TODAY())=6,TODAY()-4,IF(WEEKDAY(TODAY())=7,TODAY()-5,IF(WEEKDAY(TODAY())=1,TODAY()-6,IF(WEEKDAY(TODAY())=5,TODAY()-3,IF(WEEKDAY(TODAY())=4,TODAY()-2,IF(WEEKDAY(TODAY())=3,TODAY()-1,TODAY()))))))</f>
        <v>45341</v>
      </c>
      <c r="C9" s="105"/>
      <c r="D9" s="248">
        <f aca="true" t="shared" si="22" ref="D9:K9">IF(WEEKDAY(D8)=1,D8-6,IF(WEEKDAY(D8)=3,D8-1,IF(WEEKDAY(D8)=4,D8-2,IF(WEEKDAY(D8)=5,D8-3,IF(WEEKDAY(D8)=6,D8-4,IF(WEEKDAY(D8)=7,D8-5,D8))))))</f>
        <v>45292</v>
      </c>
      <c r="E9" s="248">
        <f t="shared" si="22"/>
        <v>45292</v>
      </c>
      <c r="F9" s="248">
        <f t="shared" si="22"/>
        <v>45292</v>
      </c>
      <c r="G9" s="248">
        <f t="shared" si="22"/>
        <v>45292</v>
      </c>
      <c r="H9" s="248">
        <f t="shared" si="22"/>
        <v>45292</v>
      </c>
      <c r="I9" s="248">
        <f t="shared" si="22"/>
        <v>45292</v>
      </c>
      <c r="J9" s="248">
        <f t="shared" si="22"/>
        <v>45292</v>
      </c>
      <c r="K9" s="248">
        <f t="shared" si="22"/>
        <v>41274</v>
      </c>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21">
        <f aca="true" t="shared" si="23" ref="AR9:BG9">IF(WEEKDAY(AR8)=1,AR8-6,IF(WEEKDAY(AR8)=3,AR8-1,IF(WEEKDAY(AR8)=4,AR8-2,IF(WEEKDAY(AR8)=5,AR8-3,IF(WEEKDAY(AR8)=6,AR8-4,IF(WEEKDAY(AR8)=7,AR8-5,AR8))))))</f>
        <v>45649</v>
      </c>
      <c r="AS9" s="121">
        <f t="shared" si="23"/>
        <v>45649</v>
      </c>
      <c r="AT9" s="121">
        <f t="shared" si="23"/>
        <v>45649</v>
      </c>
      <c r="AU9" s="121">
        <f t="shared" si="23"/>
        <v>45649</v>
      </c>
      <c r="AV9" s="121">
        <f t="shared" si="23"/>
        <v>45649</v>
      </c>
      <c r="AW9" s="121">
        <f t="shared" si="23"/>
        <v>45649</v>
      </c>
      <c r="AX9" s="121">
        <f t="shared" si="23"/>
        <v>45656</v>
      </c>
      <c r="AY9" s="121">
        <f t="shared" si="23"/>
        <v>45656</v>
      </c>
      <c r="AZ9" s="121">
        <f t="shared" si="23"/>
        <v>45656</v>
      </c>
      <c r="BA9" s="121">
        <f t="shared" si="23"/>
        <v>45656</v>
      </c>
      <c r="BB9" s="121">
        <f t="shared" si="23"/>
        <v>45656</v>
      </c>
      <c r="BC9" s="121">
        <f t="shared" si="23"/>
        <v>45656</v>
      </c>
      <c r="BD9" s="121">
        <f t="shared" si="23"/>
        <v>45656</v>
      </c>
      <c r="BE9" s="121">
        <f t="shared" si="23"/>
        <v>45663</v>
      </c>
      <c r="BF9" s="121">
        <f t="shared" si="23"/>
        <v>45663</v>
      </c>
      <c r="BG9" s="121">
        <f t="shared" si="23"/>
        <v>41274</v>
      </c>
      <c r="CS9" s="121">
        <f aca="true" t="shared" si="24" ref="CS9:DH9">IF(WEEKDAY(CS8)=1,CS8-6,IF(WEEKDAY(CS8)=3,CS8-1,IF(WEEKDAY(CS8)=4,CS8-2,IF(WEEKDAY(CS8)=5,CS8-3,IF(WEEKDAY(CS8)=6,CS8-4,IF(WEEKDAY(CS8)=7,CS8-5,CS8))))))</f>
        <v>46013</v>
      </c>
      <c r="CT9" s="121">
        <f t="shared" si="24"/>
        <v>46013</v>
      </c>
      <c r="CU9" s="121">
        <f t="shared" si="24"/>
        <v>46013</v>
      </c>
      <c r="CV9" s="121">
        <f t="shared" si="24"/>
        <v>46013</v>
      </c>
      <c r="CW9" s="121">
        <f t="shared" si="24"/>
        <v>46013</v>
      </c>
      <c r="CX9" s="121">
        <f t="shared" si="24"/>
        <v>46020</v>
      </c>
      <c r="CY9" s="121">
        <f t="shared" si="24"/>
        <v>46020</v>
      </c>
      <c r="CZ9" s="121">
        <f t="shared" si="24"/>
        <v>46020</v>
      </c>
      <c r="DA9" s="121">
        <f t="shared" si="24"/>
        <v>46020</v>
      </c>
      <c r="DB9" s="121">
        <f t="shared" si="24"/>
        <v>46020</v>
      </c>
      <c r="DC9" s="121">
        <f t="shared" si="24"/>
        <v>46020</v>
      </c>
      <c r="DD9" s="121">
        <f t="shared" si="24"/>
        <v>46020</v>
      </c>
      <c r="DE9" s="121">
        <f t="shared" si="24"/>
        <v>46027</v>
      </c>
      <c r="DF9" s="121">
        <f t="shared" si="24"/>
        <v>46027</v>
      </c>
      <c r="DG9" s="121">
        <f t="shared" si="24"/>
        <v>46027</v>
      </c>
      <c r="DH9" s="121">
        <f t="shared" si="24"/>
        <v>41274</v>
      </c>
    </row>
    <row r="10" spans="1:56" ht="13.5" hidden="1">
      <c r="A10" s="105"/>
      <c r="B10" s="124">
        <f>IF(B3=2,(B9-B6)/7+1,(B9-B6)/7+2)</f>
        <v>8</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row>
    <row r="11" spans="1:56" ht="25.5">
      <c r="A11" s="105"/>
      <c r="B11" s="125">
        <f>YEAR(HolidayPlanner!J70)</f>
        <v>2024</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21">
        <f>DATE(B11,12,29)</f>
        <v>45655</v>
      </c>
      <c r="BD11" s="105"/>
    </row>
    <row r="12" spans="1:56" ht="13.5">
      <c r="A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f>WEEKDAY(BC11)</f>
        <v>1</v>
      </c>
      <c r="BD12" s="105"/>
    </row>
    <row r="13" spans="1:56" ht="41.25">
      <c r="A13" s="126" t="s">
        <v>97</v>
      </c>
      <c r="B13" s="127" t="str">
        <f>IF(ISNA(VLOOKUP(Year,years53wks,1,FALSE)),"52 weeks",VLOOKUP(Year,years53wks,1,FALSE))</f>
        <v>52 weeks</v>
      </c>
      <c r="C13" s="128">
        <f>IF(ISNA(VLOOKUP(Year,years53wks,1,FALSE)),VLOOKUP(Year,years53wks,1,TRUE),"53 weeks")</f>
        <v>2020</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row>
    <row r="14" spans="1:56" ht="13.5">
      <c r="A14" s="105"/>
      <c r="B14" s="129"/>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30">
        <v>2004</v>
      </c>
      <c r="BB14" s="121">
        <f>DATE(BA14,1,1)</f>
        <v>37987</v>
      </c>
      <c r="BC14" s="105">
        <f aca="true" t="shared" si="25" ref="BC14:BC79">WEEKDAY(BB14)</f>
        <v>5</v>
      </c>
      <c r="BD14" s="105"/>
    </row>
    <row r="15" spans="1:56" ht="13.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v>2009</v>
      </c>
      <c r="BB15" s="121">
        <f aca="true" t="shared" si="26" ref="BB15:BB80">DATE(BA15,1,1)</f>
        <v>39814</v>
      </c>
      <c r="BC15" s="105">
        <f t="shared" si="25"/>
        <v>5</v>
      </c>
      <c r="BD15" s="105"/>
    </row>
    <row r="16" spans="1:56" ht="13.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v>2015</v>
      </c>
      <c r="BB16" s="121">
        <f t="shared" si="26"/>
        <v>42005</v>
      </c>
      <c r="BC16" s="105">
        <f t="shared" si="25"/>
        <v>5</v>
      </c>
      <c r="BD16" s="105"/>
    </row>
    <row r="17" spans="1:56" ht="13.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30">
        <v>2020</v>
      </c>
      <c r="BB17" s="121">
        <f t="shared" si="26"/>
        <v>43831</v>
      </c>
      <c r="BC17" s="131">
        <f t="shared" si="25"/>
        <v>4</v>
      </c>
      <c r="BD17" s="105"/>
    </row>
    <row r="18" spans="1:56" ht="13.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v>2026</v>
      </c>
      <c r="BB18" s="121">
        <f t="shared" si="26"/>
        <v>46023</v>
      </c>
      <c r="BC18" s="105">
        <f t="shared" si="25"/>
        <v>5</v>
      </c>
      <c r="BD18" s="105"/>
    </row>
    <row r="19" spans="1:56" ht="13.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30">
        <v>2032</v>
      </c>
      <c r="BB19" s="121">
        <f t="shared" si="26"/>
        <v>48214</v>
      </c>
      <c r="BC19" s="105">
        <f t="shared" si="25"/>
        <v>5</v>
      </c>
      <c r="BD19" s="105"/>
    </row>
    <row r="20" spans="1:56" ht="13.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v>2037</v>
      </c>
      <c r="BB20" s="121">
        <f t="shared" si="26"/>
        <v>50041</v>
      </c>
      <c r="BC20" s="105">
        <f t="shared" si="25"/>
        <v>5</v>
      </c>
      <c r="BD20" s="105"/>
    </row>
    <row r="21" spans="1:56" ht="13.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v>2043</v>
      </c>
      <c r="BB21" s="121">
        <f t="shared" si="26"/>
        <v>52232</v>
      </c>
      <c r="BC21" s="105">
        <f t="shared" si="25"/>
        <v>5</v>
      </c>
      <c r="BD21" s="105"/>
    </row>
    <row r="22" spans="1:56" ht="13.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30">
        <v>2048</v>
      </c>
      <c r="BB22" s="121">
        <f t="shared" si="26"/>
        <v>54058</v>
      </c>
      <c r="BC22" s="131">
        <f t="shared" si="25"/>
        <v>4</v>
      </c>
      <c r="BD22" s="105"/>
    </row>
    <row r="23" spans="1:56" ht="13.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v>2054</v>
      </c>
      <c r="BB23" s="121">
        <f t="shared" si="26"/>
        <v>56250</v>
      </c>
      <c r="BC23" s="105">
        <f t="shared" si="25"/>
        <v>5</v>
      </c>
      <c r="BD23" s="105"/>
    </row>
    <row r="24" spans="1:56" ht="13.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30">
        <v>2060</v>
      </c>
      <c r="BB24" s="121">
        <f t="shared" si="26"/>
        <v>58441</v>
      </c>
      <c r="BC24" s="105">
        <f t="shared" si="25"/>
        <v>5</v>
      </c>
      <c r="BD24" s="105"/>
    </row>
    <row r="25" spans="1:56" ht="13.5">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v>2065</v>
      </c>
      <c r="BB25" s="121">
        <f t="shared" si="26"/>
        <v>60268</v>
      </c>
      <c r="BC25" s="105">
        <f t="shared" si="25"/>
        <v>5</v>
      </c>
      <c r="BD25" s="105"/>
    </row>
    <row r="26" spans="1:56" ht="13.5">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v>2071</v>
      </c>
      <c r="BB26" s="121">
        <f t="shared" si="26"/>
        <v>62459</v>
      </c>
      <c r="BC26" s="105">
        <f t="shared" si="25"/>
        <v>5</v>
      </c>
      <c r="BD26" s="105"/>
    </row>
    <row r="27" spans="1:56" ht="13.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30">
        <v>2076</v>
      </c>
      <c r="BB27" s="121">
        <f t="shared" si="26"/>
        <v>64285</v>
      </c>
      <c r="BC27" s="131">
        <f t="shared" si="25"/>
        <v>4</v>
      </c>
      <c r="BD27" s="105"/>
    </row>
    <row r="28" spans="1:56" ht="13.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v>2082</v>
      </c>
      <c r="BB28" s="121">
        <f t="shared" si="26"/>
        <v>66477</v>
      </c>
      <c r="BC28" s="105">
        <f t="shared" si="25"/>
        <v>5</v>
      </c>
      <c r="BD28" s="105"/>
    </row>
    <row r="29" spans="1:56" ht="13.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30">
        <v>2088</v>
      </c>
      <c r="BB29" s="121">
        <f t="shared" si="26"/>
        <v>68668</v>
      </c>
      <c r="BC29" s="105">
        <f t="shared" si="25"/>
        <v>5</v>
      </c>
      <c r="BD29" s="105"/>
    </row>
    <row r="30" spans="1:56" ht="13.5">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v>2093</v>
      </c>
      <c r="BB30" s="121">
        <f t="shared" si="26"/>
        <v>70495</v>
      </c>
      <c r="BC30" s="105">
        <f t="shared" si="25"/>
        <v>5</v>
      </c>
      <c r="BD30" s="105"/>
    </row>
    <row r="31" spans="1:56" ht="13.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v>2099</v>
      </c>
      <c r="BB31" s="121">
        <f t="shared" si="26"/>
        <v>72686</v>
      </c>
      <c r="BC31" s="105">
        <f t="shared" si="25"/>
        <v>5</v>
      </c>
      <c r="BD31" s="105"/>
    </row>
    <row r="32" spans="1:56" ht="13.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v>2105</v>
      </c>
      <c r="BB32" s="121">
        <f t="shared" si="26"/>
        <v>74877</v>
      </c>
      <c r="BC32" s="105">
        <f t="shared" si="25"/>
        <v>5</v>
      </c>
      <c r="BD32" s="105"/>
    </row>
    <row r="33" spans="1:56" ht="13.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v>2111</v>
      </c>
      <c r="BB33" s="121">
        <f t="shared" si="26"/>
        <v>77068</v>
      </c>
      <c r="BC33" s="105">
        <f t="shared" si="25"/>
        <v>5</v>
      </c>
      <c r="BD33" s="105"/>
    </row>
    <row r="34" spans="1:56" ht="13.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30">
        <v>2116</v>
      </c>
      <c r="BB34" s="121">
        <f t="shared" si="26"/>
        <v>78894</v>
      </c>
      <c r="BC34" s="131">
        <f t="shared" si="25"/>
        <v>4</v>
      </c>
      <c r="BD34" s="105"/>
    </row>
    <row r="35" spans="1:56" ht="13.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v>2122</v>
      </c>
      <c r="BB35" s="121">
        <f t="shared" si="26"/>
        <v>81086</v>
      </c>
      <c r="BC35" s="105">
        <f t="shared" si="25"/>
        <v>5</v>
      </c>
      <c r="BD35" s="105"/>
    </row>
    <row r="36" spans="1:56" ht="13.5">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30">
        <v>2128</v>
      </c>
      <c r="BB36" s="121">
        <f t="shared" si="26"/>
        <v>83277</v>
      </c>
      <c r="BC36" s="105">
        <f t="shared" si="25"/>
        <v>5</v>
      </c>
      <c r="BD36" s="105"/>
    </row>
    <row r="37" spans="1:56" ht="13.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v>2201</v>
      </c>
      <c r="BB37" s="121">
        <f t="shared" si="26"/>
        <v>109940</v>
      </c>
      <c r="BC37" s="105">
        <f t="shared" si="25"/>
        <v>5</v>
      </c>
      <c r="BD37" s="105"/>
    </row>
    <row r="38" spans="1:56" ht="13.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v>2139</v>
      </c>
      <c r="BB38" s="121">
        <f t="shared" si="26"/>
        <v>87295</v>
      </c>
      <c r="BC38" s="105">
        <f t="shared" si="25"/>
        <v>5</v>
      </c>
      <c r="BD38" s="105"/>
    </row>
    <row r="39" spans="1:56" ht="13.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30">
        <v>2144</v>
      </c>
      <c r="BB39" s="121">
        <f t="shared" si="26"/>
        <v>89121</v>
      </c>
      <c r="BC39" s="131">
        <f t="shared" si="25"/>
        <v>4</v>
      </c>
      <c r="BD39" s="105"/>
    </row>
    <row r="40" spans="1:56" ht="13.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v>2150</v>
      </c>
      <c r="BB40" s="121">
        <f t="shared" si="26"/>
        <v>91313</v>
      </c>
      <c r="BC40" s="105">
        <f t="shared" si="25"/>
        <v>5</v>
      </c>
      <c r="BD40" s="105"/>
    </row>
    <row r="41" spans="1:56" ht="13.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30">
        <v>2156</v>
      </c>
      <c r="BB41" s="121">
        <f t="shared" si="26"/>
        <v>93504</v>
      </c>
      <c r="BC41" s="105">
        <f t="shared" si="25"/>
        <v>5</v>
      </c>
      <c r="BD41" s="105"/>
    </row>
    <row r="42" spans="1:56" ht="13.5">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v>2161</v>
      </c>
      <c r="BB42" s="121">
        <f t="shared" si="26"/>
        <v>95331</v>
      </c>
      <c r="BC42" s="105">
        <f t="shared" si="25"/>
        <v>5</v>
      </c>
      <c r="BD42" s="105"/>
    </row>
    <row r="43" spans="1:56" ht="13.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v>2167</v>
      </c>
      <c r="BB43" s="121">
        <f t="shared" si="26"/>
        <v>97522</v>
      </c>
      <c r="BC43" s="105">
        <f t="shared" si="25"/>
        <v>5</v>
      </c>
      <c r="BD43" s="105"/>
    </row>
    <row r="44" spans="1:56" ht="13.5">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30">
        <v>2172</v>
      </c>
      <c r="BB44" s="121">
        <f t="shared" si="26"/>
        <v>99348</v>
      </c>
      <c r="BC44" s="131">
        <f t="shared" si="25"/>
        <v>4</v>
      </c>
      <c r="BD44" s="105"/>
    </row>
    <row r="45" spans="1:56" ht="13.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v>2178</v>
      </c>
      <c r="BB45" s="121">
        <f t="shared" si="26"/>
        <v>101540</v>
      </c>
      <c r="BC45" s="105">
        <f t="shared" si="25"/>
        <v>5</v>
      </c>
      <c r="BD45" s="105"/>
    </row>
    <row r="46" spans="1:56" ht="13.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30">
        <v>2184</v>
      </c>
      <c r="BB46" s="121">
        <f t="shared" si="26"/>
        <v>103731</v>
      </c>
      <c r="BC46" s="105">
        <f t="shared" si="25"/>
        <v>5</v>
      </c>
      <c r="BD46" s="105"/>
    </row>
    <row r="47" spans="1:56" ht="13.5">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v>2189</v>
      </c>
      <c r="BB47" s="121">
        <f t="shared" si="26"/>
        <v>105558</v>
      </c>
      <c r="BC47" s="105">
        <f t="shared" si="25"/>
        <v>5</v>
      </c>
      <c r="BD47" s="105"/>
    </row>
    <row r="48" spans="1:56" ht="13.5">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v>2195</v>
      </c>
      <c r="BB48" s="121">
        <f t="shared" si="26"/>
        <v>107749</v>
      </c>
      <c r="BC48" s="105">
        <f t="shared" si="25"/>
        <v>5</v>
      </c>
      <c r="BD48" s="105"/>
    </row>
    <row r="49" spans="1:56" ht="13.5">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v>2201</v>
      </c>
      <c r="BB49" s="121">
        <f t="shared" si="26"/>
        <v>109940</v>
      </c>
      <c r="BC49" s="105">
        <f t="shared" si="25"/>
        <v>5</v>
      </c>
      <c r="BD49" s="105"/>
    </row>
    <row r="50" spans="1:56" ht="13.5">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v>2207</v>
      </c>
      <c r="BB50" s="121">
        <f t="shared" si="26"/>
        <v>112131</v>
      </c>
      <c r="BC50" s="105">
        <f t="shared" si="25"/>
        <v>5</v>
      </c>
      <c r="BD50" s="105"/>
    </row>
    <row r="51" spans="1:56" ht="13.5">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30">
        <v>2212</v>
      </c>
      <c r="BB51" s="121">
        <f t="shared" si="26"/>
        <v>113957</v>
      </c>
      <c r="BC51" s="131">
        <f t="shared" si="25"/>
        <v>4</v>
      </c>
      <c r="BD51" s="105"/>
    </row>
    <row r="52" spans="1:56" ht="13.5">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v>2218</v>
      </c>
      <c r="BB52" s="121">
        <f t="shared" si="26"/>
        <v>116149</v>
      </c>
      <c r="BC52" s="105">
        <f t="shared" si="25"/>
        <v>5</v>
      </c>
      <c r="BD52" s="105"/>
    </row>
    <row r="53" spans="1:56" ht="13.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30">
        <v>2224</v>
      </c>
      <c r="BB53" s="121">
        <f t="shared" si="26"/>
        <v>118340</v>
      </c>
      <c r="BC53" s="105">
        <f t="shared" si="25"/>
        <v>5</v>
      </c>
      <c r="BD53" s="105"/>
    </row>
    <row r="54" spans="1:56" ht="13.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v>2229</v>
      </c>
      <c r="BB54" s="121">
        <f t="shared" si="26"/>
        <v>120167</v>
      </c>
      <c r="BC54" s="105">
        <f t="shared" si="25"/>
        <v>5</v>
      </c>
      <c r="BD54" s="105"/>
    </row>
    <row r="55" spans="1:56" ht="13.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v>2235</v>
      </c>
      <c r="BB55" s="121">
        <f t="shared" si="26"/>
        <v>122358</v>
      </c>
      <c r="BC55" s="105">
        <f t="shared" si="25"/>
        <v>5</v>
      </c>
      <c r="BD55" s="105"/>
    </row>
    <row r="56" spans="1:56" ht="13.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30">
        <v>2240</v>
      </c>
      <c r="BB56" s="121">
        <f t="shared" si="26"/>
        <v>124184</v>
      </c>
      <c r="BC56" s="131">
        <f t="shared" si="25"/>
        <v>4</v>
      </c>
      <c r="BD56" s="105"/>
    </row>
    <row r="57" spans="1:56" ht="13.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v>2246</v>
      </c>
      <c r="BB57" s="121">
        <f t="shared" si="26"/>
        <v>126376</v>
      </c>
      <c r="BC57" s="105">
        <f t="shared" si="25"/>
        <v>5</v>
      </c>
      <c r="BD57" s="105"/>
    </row>
    <row r="58" spans="1:56" ht="13.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30">
        <v>2252</v>
      </c>
      <c r="BB58" s="121">
        <f t="shared" si="26"/>
        <v>128567</v>
      </c>
      <c r="BC58" s="105">
        <f t="shared" si="25"/>
        <v>5</v>
      </c>
      <c r="BD58" s="105"/>
    </row>
    <row r="59" spans="1:56" ht="13.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v>2257</v>
      </c>
      <c r="BB59" s="121">
        <f t="shared" si="26"/>
        <v>130394</v>
      </c>
      <c r="BC59" s="105">
        <f t="shared" si="25"/>
        <v>5</v>
      </c>
      <c r="BD59" s="105"/>
    </row>
    <row r="60" spans="1:56" ht="13.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v>2263</v>
      </c>
      <c r="BB60" s="121">
        <f t="shared" si="26"/>
        <v>132585</v>
      </c>
      <c r="BC60" s="105">
        <f t="shared" si="25"/>
        <v>5</v>
      </c>
      <c r="BD60" s="105"/>
    </row>
    <row r="61" spans="1:56" ht="13.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30">
        <v>2268</v>
      </c>
      <c r="BB61" s="121">
        <f t="shared" si="26"/>
        <v>134411</v>
      </c>
      <c r="BC61" s="131">
        <f t="shared" si="25"/>
        <v>4</v>
      </c>
      <c r="BD61" s="105"/>
    </row>
    <row r="62" spans="1:56" ht="13.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v>2274</v>
      </c>
      <c r="BB62" s="121">
        <f t="shared" si="26"/>
        <v>136603</v>
      </c>
      <c r="BC62" s="105">
        <f t="shared" si="25"/>
        <v>5</v>
      </c>
      <c r="BD62" s="105"/>
    </row>
    <row r="63" spans="1:56" ht="13.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30">
        <v>2280</v>
      </c>
      <c r="BB63" s="121">
        <f t="shared" si="26"/>
        <v>138794</v>
      </c>
      <c r="BC63" s="105">
        <f t="shared" si="25"/>
        <v>5</v>
      </c>
      <c r="BD63" s="105"/>
    </row>
    <row r="64" spans="1:56" ht="13.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v>2285</v>
      </c>
      <c r="BB64" s="121">
        <f t="shared" si="26"/>
        <v>140621</v>
      </c>
      <c r="BC64" s="105">
        <f t="shared" si="25"/>
        <v>5</v>
      </c>
      <c r="BD64" s="105"/>
    </row>
    <row r="65" spans="1:56" ht="13.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v>2291</v>
      </c>
      <c r="BB65" s="121">
        <f t="shared" si="26"/>
        <v>142812</v>
      </c>
      <c r="BC65" s="105">
        <f t="shared" si="25"/>
        <v>5</v>
      </c>
      <c r="BD65" s="105"/>
    </row>
    <row r="66" spans="1:56" ht="13.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30">
        <v>2296</v>
      </c>
      <c r="BB66" s="121">
        <f t="shared" si="26"/>
        <v>144638</v>
      </c>
      <c r="BC66" s="131">
        <f t="shared" si="25"/>
        <v>4</v>
      </c>
      <c r="BD66" s="105"/>
    </row>
    <row r="67" spans="1:56" ht="13.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v>2303</v>
      </c>
      <c r="BB67" s="121">
        <f t="shared" si="26"/>
        <v>147194</v>
      </c>
      <c r="BC67" s="105">
        <f t="shared" si="25"/>
        <v>5</v>
      </c>
      <c r="BD67" s="105"/>
    </row>
    <row r="68" spans="1:56" ht="13.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30">
        <v>2308</v>
      </c>
      <c r="BB68" s="121">
        <f t="shared" si="26"/>
        <v>149020</v>
      </c>
      <c r="BC68" s="131">
        <f t="shared" si="25"/>
        <v>4</v>
      </c>
      <c r="BD68" s="105"/>
    </row>
    <row r="69" spans="1:56" ht="13.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v>2314</v>
      </c>
      <c r="BB69" s="121">
        <f t="shared" si="26"/>
        <v>151212</v>
      </c>
      <c r="BC69" s="105">
        <f t="shared" si="25"/>
        <v>5</v>
      </c>
      <c r="BD69" s="105"/>
    </row>
    <row r="70" spans="1:56" ht="13.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30">
        <v>2320</v>
      </c>
      <c r="BB70" s="121">
        <f t="shared" si="26"/>
        <v>153403</v>
      </c>
      <c r="BC70" s="105">
        <f t="shared" si="25"/>
        <v>5</v>
      </c>
      <c r="BD70" s="105"/>
    </row>
    <row r="71" spans="1:56" ht="13.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v>2325</v>
      </c>
      <c r="BB71" s="121">
        <f t="shared" si="26"/>
        <v>155230</v>
      </c>
      <c r="BC71" s="105">
        <f t="shared" si="25"/>
        <v>5</v>
      </c>
      <c r="BD71" s="105"/>
    </row>
    <row r="72" spans="1:56" ht="13.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v>2331</v>
      </c>
      <c r="BB72" s="121">
        <f t="shared" si="26"/>
        <v>157421</v>
      </c>
      <c r="BC72" s="105">
        <f t="shared" si="25"/>
        <v>5</v>
      </c>
      <c r="BD72" s="105"/>
    </row>
    <row r="73" spans="1:56" ht="13.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30">
        <v>2336</v>
      </c>
      <c r="BB73" s="121">
        <f t="shared" si="26"/>
        <v>159247</v>
      </c>
      <c r="BC73" s="131">
        <f t="shared" si="25"/>
        <v>4</v>
      </c>
      <c r="BD73" s="105"/>
    </row>
    <row r="74" spans="1:56" ht="13.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v>2342</v>
      </c>
      <c r="BB74" s="121">
        <f t="shared" si="26"/>
        <v>161439</v>
      </c>
      <c r="BC74" s="105">
        <f t="shared" si="25"/>
        <v>5</v>
      </c>
      <c r="BD74" s="105"/>
    </row>
    <row r="75" spans="1:56" ht="13.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30">
        <v>2348</v>
      </c>
      <c r="BB75" s="121">
        <f t="shared" si="26"/>
        <v>163630</v>
      </c>
      <c r="BC75" s="105">
        <f t="shared" si="25"/>
        <v>5</v>
      </c>
      <c r="BD75" s="105"/>
    </row>
    <row r="76" spans="1:56" ht="13.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v>2353</v>
      </c>
      <c r="BB76" s="121">
        <f t="shared" si="26"/>
        <v>165457</v>
      </c>
      <c r="BC76" s="105">
        <f t="shared" si="25"/>
        <v>5</v>
      </c>
      <c r="BD76" s="105"/>
    </row>
    <row r="77" spans="1:56" ht="13.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v>2359</v>
      </c>
      <c r="BB77" s="121">
        <f t="shared" si="26"/>
        <v>167648</v>
      </c>
      <c r="BC77" s="105">
        <f t="shared" si="25"/>
        <v>5</v>
      </c>
      <c r="BD77" s="105"/>
    </row>
    <row r="78" spans="1:56" ht="13.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30">
        <v>2364</v>
      </c>
      <c r="BB78" s="121">
        <f t="shared" si="26"/>
        <v>169474</v>
      </c>
      <c r="BC78" s="131">
        <f t="shared" si="25"/>
        <v>4</v>
      </c>
      <c r="BD78" s="105"/>
    </row>
    <row r="79" spans="1:56" ht="13.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v>2370</v>
      </c>
      <c r="BB79" s="121">
        <f t="shared" si="26"/>
        <v>171666</v>
      </c>
      <c r="BC79" s="105">
        <f t="shared" si="25"/>
        <v>5</v>
      </c>
      <c r="BD79" s="105"/>
    </row>
    <row r="80" spans="1:56" ht="13.5">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30">
        <v>2376</v>
      </c>
      <c r="BB80" s="121">
        <f t="shared" si="26"/>
        <v>173857</v>
      </c>
      <c r="BC80" s="105">
        <f>WEEKDAY(BB80)</f>
        <v>5</v>
      </c>
      <c r="BD80" s="105"/>
    </row>
    <row r="81" spans="1:56" ht="13.5">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v>2381</v>
      </c>
      <c r="BB81" s="121">
        <f>DATE(BA81,1,1)</f>
        <v>175684</v>
      </c>
      <c r="BC81" s="105">
        <f>WEEKDAY(BB81)</f>
        <v>5</v>
      </c>
      <c r="BD81" s="105"/>
    </row>
    <row r="82" spans="1:56" ht="13.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v>2387</v>
      </c>
      <c r="BB82" s="121">
        <f>DATE(BA82,1,1)</f>
        <v>177875</v>
      </c>
      <c r="BC82" s="105">
        <f>WEEKDAY(BB82)</f>
        <v>5</v>
      </c>
      <c r="BD82" s="105"/>
    </row>
    <row r="83" spans="1:56" ht="13.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30">
        <v>2392</v>
      </c>
      <c r="BB83" s="121">
        <f>DATE(BA83,1,1)</f>
        <v>179701</v>
      </c>
      <c r="BC83" s="131">
        <f>WEEKDAY(BB83)</f>
        <v>4</v>
      </c>
      <c r="BD83" s="105"/>
    </row>
    <row r="84" spans="1:56" ht="13.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v>2398</v>
      </c>
      <c r="BB84" s="121">
        <f>DATE(BA84,1,1)</f>
        <v>181893</v>
      </c>
      <c r="BC84" s="105">
        <f>WEEKDAY(BB84)</f>
        <v>5</v>
      </c>
      <c r="BD84" s="105"/>
    </row>
    <row r="85" spans="1:56" ht="13.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21"/>
      <c r="BC85" s="105"/>
      <c r="BD85" s="105"/>
    </row>
    <row r="86" spans="1:56" ht="13.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21"/>
      <c r="BC86" s="105"/>
      <c r="BD86" s="105"/>
    </row>
    <row r="87" spans="1:56" ht="13.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21"/>
      <c r="BC87" s="105"/>
      <c r="BD87" s="105"/>
    </row>
    <row r="88" spans="1:56" ht="13.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row>
    <row r="89" spans="1:56" ht="13.5">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row>
    <row r="90" spans="1:56" ht="13.5">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row>
    <row r="91" spans="1:56" ht="13.5">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row>
    <row r="92" spans="1:56" ht="13.5">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row>
    <row r="93" spans="1:56" ht="13.5">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row>
    <row r="94" spans="1:56" ht="13.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row>
    <row r="95" spans="1:56" ht="13.5">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row>
    <row r="96" spans="1:56" ht="13.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row>
    <row r="97" spans="1:56" ht="13.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row>
    <row r="98" spans="1:56" ht="13.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row>
    <row r="99" spans="1:56" ht="13.5">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row>
    <row r="100" spans="1:56" ht="13.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row>
    <row r="101" spans="1:56" ht="13.5">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row>
    <row r="102" spans="1:56" ht="13.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row>
    <row r="103" spans="3:56" ht="13.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row>
    <row r="104" spans="1:56" ht="13.5">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row>
    <row r="105" spans="1:107" ht="13.5">
      <c r="A105" s="105">
        <f>C2</f>
        <v>45292</v>
      </c>
      <c r="B105" s="105">
        <f>IF(WEEKDAY(A105)=1,A105+1,IF(WEEKDAY(A105)=7,A105-5,IF(WEEKDAY(A105)=6,A105-4,IF(WEEKDAY(A105)=5,A105-3,IF(WEEKDAY(A105)=4,A105-2,IF(WEEKDAY(A105)=3,A105-1,A105))))))</f>
        <v>45292</v>
      </c>
      <c r="C105" s="132">
        <f aca="true" t="shared" si="27" ref="C105:BC105">C2</f>
        <v>45292</v>
      </c>
      <c r="D105" s="132">
        <f t="shared" si="27"/>
        <v>45299</v>
      </c>
      <c r="E105" s="132">
        <f t="shared" si="27"/>
        <v>45306</v>
      </c>
      <c r="F105" s="132">
        <f t="shared" si="27"/>
        <v>45313</v>
      </c>
      <c r="G105" s="132">
        <f t="shared" si="27"/>
        <v>45320</v>
      </c>
      <c r="H105" s="132">
        <f t="shared" si="27"/>
        <v>45327</v>
      </c>
      <c r="I105" s="132">
        <f t="shared" si="27"/>
        <v>45334</v>
      </c>
      <c r="J105" s="132">
        <f t="shared" si="27"/>
        <v>45341</v>
      </c>
      <c r="K105" s="132">
        <f t="shared" si="27"/>
        <v>45348</v>
      </c>
      <c r="L105" s="132">
        <f t="shared" si="27"/>
        <v>45355</v>
      </c>
      <c r="M105" s="132">
        <f t="shared" si="27"/>
        <v>45362</v>
      </c>
      <c r="N105" s="132">
        <f t="shared" si="27"/>
        <v>45369</v>
      </c>
      <c r="O105" s="132">
        <f t="shared" si="27"/>
        <v>45376</v>
      </c>
      <c r="P105" s="132">
        <f t="shared" si="27"/>
        <v>45383</v>
      </c>
      <c r="Q105" s="132">
        <f t="shared" si="27"/>
        <v>45390</v>
      </c>
      <c r="R105" s="132">
        <f t="shared" si="27"/>
        <v>45397</v>
      </c>
      <c r="S105" s="132">
        <f t="shared" si="27"/>
        <v>45404</v>
      </c>
      <c r="T105" s="132">
        <f t="shared" si="27"/>
        <v>45411</v>
      </c>
      <c r="U105" s="132">
        <f t="shared" si="27"/>
        <v>45418</v>
      </c>
      <c r="V105" s="132">
        <f t="shared" si="27"/>
        <v>45425</v>
      </c>
      <c r="W105" s="132">
        <f t="shared" si="27"/>
        <v>45432</v>
      </c>
      <c r="X105" s="132">
        <f t="shared" si="27"/>
        <v>45439</v>
      </c>
      <c r="Y105" s="132">
        <f t="shared" si="27"/>
        <v>45446</v>
      </c>
      <c r="Z105" s="132">
        <f t="shared" si="27"/>
        <v>45453</v>
      </c>
      <c r="AA105" s="132">
        <f t="shared" si="27"/>
        <v>45460</v>
      </c>
      <c r="AB105" s="132">
        <f t="shared" si="27"/>
        <v>45467</v>
      </c>
      <c r="AC105" s="132">
        <f t="shared" si="27"/>
        <v>45474</v>
      </c>
      <c r="AD105" s="132">
        <f t="shared" si="27"/>
        <v>45481</v>
      </c>
      <c r="AE105" s="132">
        <f t="shared" si="27"/>
        <v>45488</v>
      </c>
      <c r="AF105" s="132">
        <f t="shared" si="27"/>
        <v>45495</v>
      </c>
      <c r="AG105" s="132">
        <f t="shared" si="27"/>
        <v>45502</v>
      </c>
      <c r="AH105" s="132">
        <f t="shared" si="27"/>
        <v>45509</v>
      </c>
      <c r="AI105" s="132">
        <f t="shared" si="27"/>
        <v>45516</v>
      </c>
      <c r="AJ105" s="132">
        <f t="shared" si="27"/>
        <v>45523</v>
      </c>
      <c r="AK105" s="132">
        <f t="shared" si="27"/>
        <v>45530</v>
      </c>
      <c r="AL105" s="132">
        <f t="shared" si="27"/>
        <v>45537</v>
      </c>
      <c r="AM105" s="132">
        <f t="shared" si="27"/>
        <v>45544</v>
      </c>
      <c r="AN105" s="132">
        <f t="shared" si="27"/>
        <v>45551</v>
      </c>
      <c r="AO105" s="132">
        <f t="shared" si="27"/>
        <v>45558</v>
      </c>
      <c r="AP105" s="132">
        <f t="shared" si="27"/>
        <v>45565</v>
      </c>
      <c r="AQ105" s="132">
        <f t="shared" si="27"/>
        <v>45572</v>
      </c>
      <c r="AR105" s="132">
        <f t="shared" si="27"/>
        <v>45579</v>
      </c>
      <c r="AS105" s="132">
        <f t="shared" si="27"/>
        <v>45586</v>
      </c>
      <c r="AT105" s="132">
        <f t="shared" si="27"/>
        <v>45593</v>
      </c>
      <c r="AU105" s="132">
        <f t="shared" si="27"/>
        <v>45600</v>
      </c>
      <c r="AV105" s="132">
        <f t="shared" si="27"/>
        <v>45607</v>
      </c>
      <c r="AW105" s="132">
        <f t="shared" si="27"/>
        <v>45614</v>
      </c>
      <c r="AX105" s="132">
        <f t="shared" si="27"/>
        <v>45621</v>
      </c>
      <c r="AY105" s="132">
        <f t="shared" si="27"/>
        <v>45628</v>
      </c>
      <c r="AZ105" s="132">
        <f t="shared" si="27"/>
        <v>45635</v>
      </c>
      <c r="BA105" s="132">
        <f t="shared" si="27"/>
        <v>45642</v>
      </c>
      <c r="BB105" s="132">
        <f t="shared" si="27"/>
        <v>45649</v>
      </c>
      <c r="BC105" s="132">
        <f t="shared" si="27"/>
        <v>45656</v>
      </c>
      <c r="BD105" s="132"/>
      <c r="BE105" s="132">
        <f aca="true" t="shared" si="28" ref="BE105:DC105">BE2</f>
        <v>45663</v>
      </c>
      <c r="BF105" s="132">
        <f t="shared" si="28"/>
        <v>45670</v>
      </c>
      <c r="BG105" s="132">
        <f t="shared" si="28"/>
        <v>45677</v>
      </c>
      <c r="BH105" s="132">
        <f t="shared" si="28"/>
        <v>45684</v>
      </c>
      <c r="BI105" s="132">
        <f t="shared" si="28"/>
        <v>45691</v>
      </c>
      <c r="BJ105" s="132">
        <f t="shared" si="28"/>
        <v>45698</v>
      </c>
      <c r="BK105" s="132">
        <f t="shared" si="28"/>
        <v>45705</v>
      </c>
      <c r="BL105" s="132">
        <f t="shared" si="28"/>
        <v>45712</v>
      </c>
      <c r="BM105" s="132">
        <f t="shared" si="28"/>
        <v>45719</v>
      </c>
      <c r="BN105" s="132">
        <f t="shared" si="28"/>
        <v>45726</v>
      </c>
      <c r="BO105" s="132">
        <f t="shared" si="28"/>
        <v>45733</v>
      </c>
      <c r="BP105" s="132">
        <f t="shared" si="28"/>
        <v>45740</v>
      </c>
      <c r="BQ105" s="132">
        <f t="shared" si="28"/>
        <v>45747</v>
      </c>
      <c r="BR105" s="132">
        <f t="shared" si="28"/>
        <v>45754</v>
      </c>
      <c r="BS105" s="132">
        <f t="shared" si="28"/>
        <v>45761</v>
      </c>
      <c r="BT105" s="132">
        <f t="shared" si="28"/>
        <v>45768</v>
      </c>
      <c r="BU105" s="132">
        <f t="shared" si="28"/>
        <v>45775</v>
      </c>
      <c r="BV105" s="132">
        <f t="shared" si="28"/>
        <v>45782</v>
      </c>
      <c r="BW105" s="132">
        <f t="shared" si="28"/>
        <v>45789</v>
      </c>
      <c r="BX105" s="132">
        <f t="shared" si="28"/>
        <v>45796</v>
      </c>
      <c r="BY105" s="132">
        <f t="shared" si="28"/>
        <v>45803</v>
      </c>
      <c r="BZ105" s="132">
        <f t="shared" si="28"/>
        <v>45810</v>
      </c>
      <c r="CA105" s="132">
        <f t="shared" si="28"/>
        <v>45817</v>
      </c>
      <c r="CB105" s="132">
        <f t="shared" si="28"/>
        <v>45824</v>
      </c>
      <c r="CC105" s="132">
        <f t="shared" si="28"/>
        <v>45831</v>
      </c>
      <c r="CD105" s="132">
        <f t="shared" si="28"/>
        <v>45838</v>
      </c>
      <c r="CE105" s="132">
        <f t="shared" si="28"/>
        <v>45845</v>
      </c>
      <c r="CF105" s="132">
        <f t="shared" si="28"/>
        <v>45852</v>
      </c>
      <c r="CG105" s="132">
        <f t="shared" si="28"/>
        <v>45859</v>
      </c>
      <c r="CH105" s="132">
        <f t="shared" si="28"/>
        <v>45866</v>
      </c>
      <c r="CI105" s="132">
        <f t="shared" si="28"/>
        <v>45873</v>
      </c>
      <c r="CJ105" s="132">
        <f t="shared" si="28"/>
        <v>45880</v>
      </c>
      <c r="CK105" s="132">
        <f t="shared" si="28"/>
        <v>45887</v>
      </c>
      <c r="CL105" s="132">
        <f t="shared" si="28"/>
        <v>45894</v>
      </c>
      <c r="CM105" s="132">
        <f t="shared" si="28"/>
        <v>45901</v>
      </c>
      <c r="CN105" s="132">
        <f t="shared" si="28"/>
        <v>45908</v>
      </c>
      <c r="CO105" s="132">
        <f t="shared" si="28"/>
        <v>45915</v>
      </c>
      <c r="CP105" s="132">
        <f t="shared" si="28"/>
        <v>45922</v>
      </c>
      <c r="CQ105" s="132">
        <f t="shared" si="28"/>
        <v>45929</v>
      </c>
      <c r="CR105" s="132">
        <f t="shared" si="28"/>
        <v>45936</v>
      </c>
      <c r="CS105" s="132">
        <f t="shared" si="28"/>
        <v>45943</v>
      </c>
      <c r="CT105" s="132">
        <f t="shared" si="28"/>
        <v>45950</v>
      </c>
      <c r="CU105" s="132">
        <f t="shared" si="28"/>
        <v>45957</v>
      </c>
      <c r="CV105" s="132">
        <f t="shared" si="28"/>
        <v>45964</v>
      </c>
      <c r="CW105" s="132">
        <f t="shared" si="28"/>
        <v>45971</v>
      </c>
      <c r="CX105" s="132">
        <f t="shared" si="28"/>
        <v>45978</v>
      </c>
      <c r="CY105" s="132">
        <f t="shared" si="28"/>
        <v>45985</v>
      </c>
      <c r="CZ105" s="132">
        <f t="shared" si="28"/>
        <v>45992</v>
      </c>
      <c r="DA105" s="132">
        <f t="shared" si="28"/>
        <v>45999</v>
      </c>
      <c r="DB105" s="132">
        <f t="shared" si="28"/>
        <v>46006</v>
      </c>
      <c r="DC105" s="132">
        <f t="shared" si="28"/>
        <v>46013</v>
      </c>
    </row>
    <row r="106" spans="2:107" ht="13.5">
      <c r="B106" s="101">
        <f>C106</f>
        <v>1</v>
      </c>
      <c r="C106" s="103">
        <f aca="true" t="shared" si="29" ref="C106:BC106">C1</f>
        <v>1</v>
      </c>
      <c r="D106" s="103">
        <f t="shared" si="29"/>
        <v>2</v>
      </c>
      <c r="E106" s="103">
        <f t="shared" si="29"/>
        <v>3</v>
      </c>
      <c r="F106" s="103">
        <f t="shared" si="29"/>
        <v>4</v>
      </c>
      <c r="G106" s="103">
        <f t="shared" si="29"/>
        <v>5</v>
      </c>
      <c r="H106" s="103">
        <f t="shared" si="29"/>
        <v>6</v>
      </c>
      <c r="I106" s="103">
        <f t="shared" si="29"/>
        <v>7</v>
      </c>
      <c r="J106" s="103">
        <f t="shared" si="29"/>
        <v>8</v>
      </c>
      <c r="K106" s="103">
        <f t="shared" si="29"/>
        <v>9</v>
      </c>
      <c r="L106" s="103">
        <f t="shared" si="29"/>
        <v>10</v>
      </c>
      <c r="M106" s="103">
        <f t="shared" si="29"/>
        <v>11</v>
      </c>
      <c r="N106" s="103">
        <f t="shared" si="29"/>
        <v>12</v>
      </c>
      <c r="O106" s="103">
        <f t="shared" si="29"/>
        <v>13</v>
      </c>
      <c r="P106" s="103">
        <f t="shared" si="29"/>
        <v>14</v>
      </c>
      <c r="Q106" s="103">
        <f t="shared" si="29"/>
        <v>15</v>
      </c>
      <c r="R106" s="103">
        <f t="shared" si="29"/>
        <v>16</v>
      </c>
      <c r="S106" s="103">
        <f t="shared" si="29"/>
        <v>17</v>
      </c>
      <c r="T106" s="103">
        <f t="shared" si="29"/>
        <v>18</v>
      </c>
      <c r="U106" s="103">
        <f t="shared" si="29"/>
        <v>19</v>
      </c>
      <c r="V106" s="103">
        <f t="shared" si="29"/>
        <v>20</v>
      </c>
      <c r="W106" s="103">
        <f t="shared" si="29"/>
        <v>21</v>
      </c>
      <c r="X106" s="103">
        <f t="shared" si="29"/>
        <v>22</v>
      </c>
      <c r="Y106" s="103">
        <f t="shared" si="29"/>
        <v>23</v>
      </c>
      <c r="Z106" s="103">
        <f t="shared" si="29"/>
        <v>24</v>
      </c>
      <c r="AA106" s="103">
        <f t="shared" si="29"/>
        <v>25</v>
      </c>
      <c r="AB106" s="103">
        <f t="shared" si="29"/>
        <v>26</v>
      </c>
      <c r="AC106" s="103">
        <f t="shared" si="29"/>
        <v>27</v>
      </c>
      <c r="AD106" s="103">
        <f t="shared" si="29"/>
        <v>28</v>
      </c>
      <c r="AE106" s="103">
        <f t="shared" si="29"/>
        <v>29</v>
      </c>
      <c r="AF106" s="103">
        <f t="shared" si="29"/>
        <v>30</v>
      </c>
      <c r="AG106" s="103">
        <f t="shared" si="29"/>
        <v>31</v>
      </c>
      <c r="AH106" s="103">
        <f t="shared" si="29"/>
        <v>32</v>
      </c>
      <c r="AI106" s="103">
        <f t="shared" si="29"/>
        <v>33</v>
      </c>
      <c r="AJ106" s="103">
        <f t="shared" si="29"/>
        <v>34</v>
      </c>
      <c r="AK106" s="103">
        <f t="shared" si="29"/>
        <v>35</v>
      </c>
      <c r="AL106" s="103">
        <f t="shared" si="29"/>
        <v>36</v>
      </c>
      <c r="AM106" s="103">
        <f t="shared" si="29"/>
        <v>37</v>
      </c>
      <c r="AN106" s="103">
        <f t="shared" si="29"/>
        <v>38</v>
      </c>
      <c r="AO106" s="103">
        <f t="shared" si="29"/>
        <v>39</v>
      </c>
      <c r="AP106" s="103">
        <f t="shared" si="29"/>
        <v>40</v>
      </c>
      <c r="AQ106" s="103">
        <f t="shared" si="29"/>
        <v>41</v>
      </c>
      <c r="AR106" s="103">
        <f t="shared" si="29"/>
        <v>42</v>
      </c>
      <c r="AS106" s="103">
        <f t="shared" si="29"/>
        <v>43</v>
      </c>
      <c r="AT106" s="103">
        <f t="shared" si="29"/>
        <v>44</v>
      </c>
      <c r="AU106" s="103">
        <f t="shared" si="29"/>
        <v>45</v>
      </c>
      <c r="AV106" s="103">
        <f t="shared" si="29"/>
        <v>46</v>
      </c>
      <c r="AW106" s="103">
        <f t="shared" si="29"/>
        <v>47</v>
      </c>
      <c r="AX106" s="103">
        <f t="shared" si="29"/>
        <v>48</v>
      </c>
      <c r="AY106" s="103">
        <f t="shared" si="29"/>
        <v>49</v>
      </c>
      <c r="AZ106" s="103">
        <f t="shared" si="29"/>
        <v>50</v>
      </c>
      <c r="BA106" s="103">
        <f t="shared" si="29"/>
        <v>51</v>
      </c>
      <c r="BB106" s="103">
        <f t="shared" si="29"/>
        <v>52</v>
      </c>
      <c r="BC106" s="103">
        <f t="shared" si="29"/>
        <v>53</v>
      </c>
      <c r="BD106" s="103"/>
      <c r="BE106" s="103">
        <f aca="true" t="shared" si="30" ref="BE106:DC106">BE1</f>
        <v>1</v>
      </c>
      <c r="BF106" s="103">
        <f t="shared" si="30"/>
        <v>2</v>
      </c>
      <c r="BG106" s="103">
        <f t="shared" si="30"/>
        <v>3</v>
      </c>
      <c r="BH106" s="103">
        <f t="shared" si="30"/>
        <v>4</v>
      </c>
      <c r="BI106" s="103">
        <f t="shared" si="30"/>
        <v>5</v>
      </c>
      <c r="BJ106" s="103">
        <f t="shared" si="30"/>
        <v>6</v>
      </c>
      <c r="BK106" s="103">
        <f t="shared" si="30"/>
        <v>7</v>
      </c>
      <c r="BL106" s="103">
        <f t="shared" si="30"/>
        <v>8</v>
      </c>
      <c r="BM106" s="103">
        <f t="shared" si="30"/>
        <v>9</v>
      </c>
      <c r="BN106" s="103">
        <f t="shared" si="30"/>
        <v>10</v>
      </c>
      <c r="BO106" s="103">
        <f t="shared" si="30"/>
        <v>11</v>
      </c>
      <c r="BP106" s="103">
        <f t="shared" si="30"/>
        <v>12</v>
      </c>
      <c r="BQ106" s="103">
        <f t="shared" si="30"/>
        <v>13</v>
      </c>
      <c r="BR106" s="103">
        <f t="shared" si="30"/>
        <v>14</v>
      </c>
      <c r="BS106" s="103">
        <f t="shared" si="30"/>
        <v>15</v>
      </c>
      <c r="BT106" s="103">
        <f t="shared" si="30"/>
        <v>16</v>
      </c>
      <c r="BU106" s="103">
        <f t="shared" si="30"/>
        <v>17</v>
      </c>
      <c r="BV106" s="103">
        <f t="shared" si="30"/>
        <v>18</v>
      </c>
      <c r="BW106" s="103">
        <f t="shared" si="30"/>
        <v>19</v>
      </c>
      <c r="BX106" s="103">
        <f t="shared" si="30"/>
        <v>20</v>
      </c>
      <c r="BY106" s="103">
        <f t="shared" si="30"/>
        <v>21</v>
      </c>
      <c r="BZ106" s="103">
        <f t="shared" si="30"/>
        <v>22</v>
      </c>
      <c r="CA106" s="103">
        <f t="shared" si="30"/>
        <v>23</v>
      </c>
      <c r="CB106" s="103">
        <f t="shared" si="30"/>
        <v>24</v>
      </c>
      <c r="CC106" s="103">
        <f t="shared" si="30"/>
        <v>25</v>
      </c>
      <c r="CD106" s="103">
        <f t="shared" si="30"/>
        <v>26</v>
      </c>
      <c r="CE106" s="103">
        <f t="shared" si="30"/>
        <v>27</v>
      </c>
      <c r="CF106" s="103">
        <f t="shared" si="30"/>
        <v>28</v>
      </c>
      <c r="CG106" s="103">
        <f t="shared" si="30"/>
        <v>29</v>
      </c>
      <c r="CH106" s="103">
        <f t="shared" si="30"/>
        <v>30</v>
      </c>
      <c r="CI106" s="103">
        <f t="shared" si="30"/>
        <v>31</v>
      </c>
      <c r="CJ106" s="103">
        <f t="shared" si="30"/>
        <v>32</v>
      </c>
      <c r="CK106" s="103">
        <f t="shared" si="30"/>
        <v>33</v>
      </c>
      <c r="CL106" s="103">
        <f t="shared" si="30"/>
        <v>34</v>
      </c>
      <c r="CM106" s="103">
        <f t="shared" si="30"/>
        <v>35</v>
      </c>
      <c r="CN106" s="103">
        <f t="shared" si="30"/>
        <v>36</v>
      </c>
      <c r="CO106" s="103">
        <f t="shared" si="30"/>
        <v>37</v>
      </c>
      <c r="CP106" s="103">
        <f t="shared" si="30"/>
        <v>38</v>
      </c>
      <c r="CQ106" s="103">
        <f t="shared" si="30"/>
        <v>39</v>
      </c>
      <c r="CR106" s="103">
        <f t="shared" si="30"/>
        <v>40</v>
      </c>
      <c r="CS106" s="103">
        <f t="shared" si="30"/>
        <v>41</v>
      </c>
      <c r="CT106" s="103">
        <f t="shared" si="30"/>
        <v>42</v>
      </c>
      <c r="CU106" s="103">
        <f t="shared" si="30"/>
        <v>43</v>
      </c>
      <c r="CV106" s="103">
        <f t="shared" si="30"/>
        <v>44</v>
      </c>
      <c r="CW106" s="103">
        <f t="shared" si="30"/>
        <v>45</v>
      </c>
      <c r="CX106" s="103">
        <f t="shared" si="30"/>
        <v>46</v>
      </c>
      <c r="CY106" s="103">
        <f t="shared" si="30"/>
        <v>47</v>
      </c>
      <c r="CZ106" s="103">
        <f t="shared" si="30"/>
        <v>48</v>
      </c>
      <c r="DA106" s="103">
        <f t="shared" si="30"/>
        <v>49</v>
      </c>
      <c r="DB106" s="103">
        <f t="shared" si="30"/>
        <v>50</v>
      </c>
      <c r="DC106" s="103">
        <f t="shared" si="30"/>
        <v>51</v>
      </c>
    </row>
    <row r="107" spans="3:105" ht="13.5">
      <c r="C107" s="101">
        <v>1999</v>
      </c>
      <c r="D107" s="101">
        <f aca="true" t="shared" si="31" ref="D107:BO107">C107+1</f>
        <v>2000</v>
      </c>
      <c r="E107" s="101">
        <f t="shared" si="31"/>
        <v>2001</v>
      </c>
      <c r="F107" s="101">
        <f t="shared" si="31"/>
        <v>2002</v>
      </c>
      <c r="G107" s="101">
        <f t="shared" si="31"/>
        <v>2003</v>
      </c>
      <c r="H107" s="101">
        <f t="shared" si="31"/>
        <v>2004</v>
      </c>
      <c r="I107" s="101">
        <f t="shared" si="31"/>
        <v>2005</v>
      </c>
      <c r="J107" s="101">
        <f t="shared" si="31"/>
        <v>2006</v>
      </c>
      <c r="K107" s="101">
        <f t="shared" si="31"/>
        <v>2007</v>
      </c>
      <c r="L107" s="101">
        <f t="shared" si="31"/>
        <v>2008</v>
      </c>
      <c r="M107" s="101">
        <f t="shared" si="31"/>
        <v>2009</v>
      </c>
      <c r="N107" s="101">
        <f t="shared" si="31"/>
        <v>2010</v>
      </c>
      <c r="O107" s="101">
        <f t="shared" si="31"/>
        <v>2011</v>
      </c>
      <c r="P107" s="101">
        <f t="shared" si="31"/>
        <v>2012</v>
      </c>
      <c r="Q107" s="101">
        <f t="shared" si="31"/>
        <v>2013</v>
      </c>
      <c r="R107" s="101">
        <f t="shared" si="31"/>
        <v>2014</v>
      </c>
      <c r="S107" s="101">
        <f t="shared" si="31"/>
        <v>2015</v>
      </c>
      <c r="T107" s="101">
        <f t="shared" si="31"/>
        <v>2016</v>
      </c>
      <c r="U107" s="101">
        <f t="shared" si="31"/>
        <v>2017</v>
      </c>
      <c r="V107" s="101">
        <f t="shared" si="31"/>
        <v>2018</v>
      </c>
      <c r="W107" s="101">
        <f t="shared" si="31"/>
        <v>2019</v>
      </c>
      <c r="X107" s="101">
        <f t="shared" si="31"/>
        <v>2020</v>
      </c>
      <c r="Y107" s="101">
        <f t="shared" si="31"/>
        <v>2021</v>
      </c>
      <c r="Z107" s="101">
        <f t="shared" si="31"/>
        <v>2022</v>
      </c>
      <c r="AA107" s="101">
        <f t="shared" si="31"/>
        <v>2023</v>
      </c>
      <c r="AB107" s="101">
        <f t="shared" si="31"/>
        <v>2024</v>
      </c>
      <c r="AC107" s="101">
        <f t="shared" si="31"/>
        <v>2025</v>
      </c>
      <c r="AD107" s="101">
        <f t="shared" si="31"/>
        <v>2026</v>
      </c>
      <c r="AE107" s="101">
        <f t="shared" si="31"/>
        <v>2027</v>
      </c>
      <c r="AF107" s="101">
        <f t="shared" si="31"/>
        <v>2028</v>
      </c>
      <c r="AG107" s="101">
        <f t="shared" si="31"/>
        <v>2029</v>
      </c>
      <c r="AH107" s="101">
        <f t="shared" si="31"/>
        <v>2030</v>
      </c>
      <c r="AI107" s="101">
        <f t="shared" si="31"/>
        <v>2031</v>
      </c>
      <c r="AJ107" s="101">
        <f t="shared" si="31"/>
        <v>2032</v>
      </c>
      <c r="AK107" s="101">
        <f t="shared" si="31"/>
        <v>2033</v>
      </c>
      <c r="AL107" s="101">
        <f t="shared" si="31"/>
        <v>2034</v>
      </c>
      <c r="AM107" s="101">
        <f t="shared" si="31"/>
        <v>2035</v>
      </c>
      <c r="AN107" s="101">
        <f t="shared" si="31"/>
        <v>2036</v>
      </c>
      <c r="AO107" s="101">
        <f t="shared" si="31"/>
        <v>2037</v>
      </c>
      <c r="AP107" s="101">
        <f t="shared" si="31"/>
        <v>2038</v>
      </c>
      <c r="AQ107" s="101">
        <f t="shared" si="31"/>
        <v>2039</v>
      </c>
      <c r="AR107" s="101">
        <f t="shared" si="31"/>
        <v>2040</v>
      </c>
      <c r="AS107" s="101">
        <f t="shared" si="31"/>
        <v>2041</v>
      </c>
      <c r="AT107" s="101">
        <f t="shared" si="31"/>
        <v>2042</v>
      </c>
      <c r="AU107" s="101">
        <f t="shared" si="31"/>
        <v>2043</v>
      </c>
      <c r="AV107" s="101">
        <f t="shared" si="31"/>
        <v>2044</v>
      </c>
      <c r="AW107" s="101">
        <f t="shared" si="31"/>
        <v>2045</v>
      </c>
      <c r="AX107" s="101">
        <f t="shared" si="31"/>
        <v>2046</v>
      </c>
      <c r="AY107" s="101">
        <f t="shared" si="31"/>
        <v>2047</v>
      </c>
      <c r="AZ107" s="101">
        <f t="shared" si="31"/>
        <v>2048</v>
      </c>
      <c r="BA107" s="101">
        <f t="shared" si="31"/>
        <v>2049</v>
      </c>
      <c r="BB107" s="101">
        <f t="shared" si="31"/>
        <v>2050</v>
      </c>
      <c r="BC107" s="101">
        <f t="shared" si="31"/>
        <v>2051</v>
      </c>
      <c r="BE107" s="101">
        <f>BC107+1</f>
        <v>2052</v>
      </c>
      <c r="BF107" s="101">
        <f t="shared" si="31"/>
        <v>2053</v>
      </c>
      <c r="BG107" s="101">
        <f t="shared" si="31"/>
        <v>2054</v>
      </c>
      <c r="BH107" s="101">
        <f t="shared" si="31"/>
        <v>2055</v>
      </c>
      <c r="BI107" s="101">
        <f t="shared" si="31"/>
        <v>2056</v>
      </c>
      <c r="BJ107" s="101">
        <f t="shared" si="31"/>
        <v>2057</v>
      </c>
      <c r="BK107" s="101">
        <f t="shared" si="31"/>
        <v>2058</v>
      </c>
      <c r="BL107" s="101">
        <f t="shared" si="31"/>
        <v>2059</v>
      </c>
      <c r="BM107" s="101">
        <f t="shared" si="31"/>
        <v>2060</v>
      </c>
      <c r="BN107" s="101">
        <f t="shared" si="31"/>
        <v>2061</v>
      </c>
      <c r="BO107" s="101">
        <f t="shared" si="31"/>
        <v>2062</v>
      </c>
      <c r="BP107" s="101">
        <f aca="true" t="shared" si="32" ref="BP107:DA107">BO107+1</f>
        <v>2063</v>
      </c>
      <c r="BQ107" s="101">
        <f t="shared" si="32"/>
        <v>2064</v>
      </c>
      <c r="BR107" s="101">
        <f t="shared" si="32"/>
        <v>2065</v>
      </c>
      <c r="BS107" s="101">
        <f t="shared" si="32"/>
        <v>2066</v>
      </c>
      <c r="BT107" s="101">
        <f t="shared" si="32"/>
        <v>2067</v>
      </c>
      <c r="BU107" s="101">
        <f t="shared" si="32"/>
        <v>2068</v>
      </c>
      <c r="BV107" s="101">
        <f t="shared" si="32"/>
        <v>2069</v>
      </c>
      <c r="BW107" s="101">
        <f t="shared" si="32"/>
        <v>2070</v>
      </c>
      <c r="BX107" s="101">
        <f t="shared" si="32"/>
        <v>2071</v>
      </c>
      <c r="BY107" s="101">
        <f t="shared" si="32"/>
        <v>2072</v>
      </c>
      <c r="BZ107" s="101">
        <f t="shared" si="32"/>
        <v>2073</v>
      </c>
      <c r="CA107" s="101">
        <f t="shared" si="32"/>
        <v>2074</v>
      </c>
      <c r="CB107" s="101">
        <f t="shared" si="32"/>
        <v>2075</v>
      </c>
      <c r="CC107" s="101">
        <f t="shared" si="32"/>
        <v>2076</v>
      </c>
      <c r="CD107" s="101">
        <f t="shared" si="32"/>
        <v>2077</v>
      </c>
      <c r="CE107" s="101">
        <f t="shared" si="32"/>
        <v>2078</v>
      </c>
      <c r="CF107" s="101">
        <f t="shared" si="32"/>
        <v>2079</v>
      </c>
      <c r="CG107" s="101">
        <f t="shared" si="32"/>
        <v>2080</v>
      </c>
      <c r="CH107" s="101">
        <f t="shared" si="32"/>
        <v>2081</v>
      </c>
      <c r="CI107" s="101">
        <f t="shared" si="32"/>
        <v>2082</v>
      </c>
      <c r="CJ107" s="101">
        <f t="shared" si="32"/>
        <v>2083</v>
      </c>
      <c r="CK107" s="101">
        <f t="shared" si="32"/>
        <v>2084</v>
      </c>
      <c r="CL107" s="101">
        <f t="shared" si="32"/>
        <v>2085</v>
      </c>
      <c r="CM107" s="101">
        <f t="shared" si="32"/>
        <v>2086</v>
      </c>
      <c r="CN107" s="101">
        <f t="shared" si="32"/>
        <v>2087</v>
      </c>
      <c r="CO107" s="101">
        <f t="shared" si="32"/>
        <v>2088</v>
      </c>
      <c r="CP107" s="101">
        <f t="shared" si="32"/>
        <v>2089</v>
      </c>
      <c r="CQ107" s="101">
        <f t="shared" si="32"/>
        <v>2090</v>
      </c>
      <c r="CR107" s="101">
        <f t="shared" si="32"/>
        <v>2091</v>
      </c>
      <c r="CS107" s="101">
        <f t="shared" si="32"/>
        <v>2092</v>
      </c>
      <c r="CT107" s="101">
        <f t="shared" si="32"/>
        <v>2093</v>
      </c>
      <c r="CU107" s="101">
        <f t="shared" si="32"/>
        <v>2094</v>
      </c>
      <c r="CV107" s="101">
        <f t="shared" si="32"/>
        <v>2095</v>
      </c>
      <c r="CW107" s="101">
        <f t="shared" si="32"/>
        <v>2096</v>
      </c>
      <c r="CX107" s="101">
        <f t="shared" si="32"/>
        <v>2097</v>
      </c>
      <c r="CY107" s="101">
        <f t="shared" si="32"/>
        <v>2098</v>
      </c>
      <c r="CZ107" s="101">
        <f t="shared" si="32"/>
        <v>2099</v>
      </c>
      <c r="DA107" s="101">
        <f t="shared" si="32"/>
        <v>2100</v>
      </c>
    </row>
    <row r="108" spans="3:14" ht="13.5">
      <c r="C108" s="133" t="s">
        <v>98</v>
      </c>
      <c r="D108" s="133" t="s">
        <v>99</v>
      </c>
      <c r="E108" s="133" t="s">
        <v>100</v>
      </c>
      <c r="F108" s="133" t="s">
        <v>101</v>
      </c>
      <c r="G108" s="133" t="s">
        <v>102</v>
      </c>
      <c r="H108" s="133" t="s">
        <v>103</v>
      </c>
      <c r="I108" s="133" t="s">
        <v>104</v>
      </c>
      <c r="J108" s="133" t="s">
        <v>105</v>
      </c>
      <c r="K108" s="133" t="s">
        <v>106</v>
      </c>
      <c r="L108" s="133" t="s">
        <v>107</v>
      </c>
      <c r="M108" s="133" t="s">
        <v>108</v>
      </c>
      <c r="N108" s="133" t="s">
        <v>109</v>
      </c>
    </row>
  </sheetData>
  <sheetProtection password="CEA2" sheet="1"/>
  <conditionalFormatting sqref="C1:FE1">
    <cfRule type="expression" priority="13" dxfId="12" stopIfTrue="1">
      <formula>C1=$B$13</formula>
    </cfRule>
  </conditionalFormatting>
  <conditionalFormatting sqref="D7:K7 BC4:BD4 AR7:BG7">
    <cfRule type="expression" priority="12" dxfId="343" stopIfTrue="1">
      <formula>D4=2</formula>
    </cfRule>
  </conditionalFormatting>
  <conditionalFormatting sqref="D6:K6">
    <cfRule type="expression" priority="11" dxfId="344" stopIfTrue="1">
      <formula>D7=2</formula>
    </cfRule>
  </conditionalFormatting>
  <conditionalFormatting sqref="AZ6:BG6">
    <cfRule type="expression" priority="10" dxfId="344" stopIfTrue="1">
      <formula>AZ7=2</formula>
    </cfRule>
  </conditionalFormatting>
  <conditionalFormatting sqref="AZ8:BG8">
    <cfRule type="expression" priority="9" dxfId="345" stopIfTrue="1">
      <formula>AND(MONTH(AZ8)=1,DAY(AZ8)=1)</formula>
    </cfRule>
  </conditionalFormatting>
  <conditionalFormatting sqref="AR9:BF9">
    <cfRule type="expression" priority="8" dxfId="346" stopIfTrue="1">
      <formula>YEAR(AR9)=$B$11</formula>
    </cfRule>
  </conditionalFormatting>
  <conditionalFormatting sqref="D9:J9">
    <cfRule type="expression" priority="7" dxfId="346" stopIfTrue="1">
      <formula>YEAR(D9)=$B$11-1</formula>
    </cfRule>
  </conditionalFormatting>
  <conditionalFormatting sqref="DE4">
    <cfRule type="expression" priority="6" dxfId="343" stopIfTrue="1">
      <formula>DE4=2</formula>
    </cfRule>
  </conditionalFormatting>
  <conditionalFormatting sqref="DD4:DE4">
    <cfRule type="expression" priority="5" dxfId="343" stopIfTrue="1">
      <formula>DD4=2</formula>
    </cfRule>
  </conditionalFormatting>
  <conditionalFormatting sqref="CS7:DH7">
    <cfRule type="expression" priority="4" dxfId="343" stopIfTrue="1">
      <formula>CS7=2</formula>
    </cfRule>
  </conditionalFormatting>
  <conditionalFormatting sqref="DA6:DH6">
    <cfRule type="expression" priority="3" dxfId="344" stopIfTrue="1">
      <formula>DA7=2</formula>
    </cfRule>
  </conditionalFormatting>
  <conditionalFormatting sqref="DA8:DH8">
    <cfRule type="expression" priority="2" dxfId="345" stopIfTrue="1">
      <formula>AND(MONTH(DA8)=1,DAY(DA8)=1)</formula>
    </cfRule>
  </conditionalFormatting>
  <conditionalFormatting sqref="CS9:DG9">
    <cfRule type="expression" priority="1" dxfId="346" stopIfTrue="1">
      <formula>YEAR(CS9)=$B$11</formula>
    </cfRule>
  </conditionalFormatting>
  <printOptions/>
  <pageMargins left="0.75" right="0.75" top="1" bottom="1"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kenmzoka.com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JapanFloating12MonthCalendar</dc:title>
  <dc:subject/>
  <dc:creator>Ken Matsuoka</dc:creator>
  <cp:keywords/>
  <dc:description/>
  <cp:lastModifiedBy>Ken Matsuoka</cp:lastModifiedBy>
  <cp:lastPrinted>2005-09-11T04:07:17Z</cp:lastPrinted>
  <dcterms:created xsi:type="dcterms:W3CDTF">2000-05-17T14:04:32Z</dcterms:created>
  <dcterms:modified xsi:type="dcterms:W3CDTF">2024-02-21T07:57:34Z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